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Annahmen" sheetId="2" r:id="rId1"/>
    <sheet name="Übersicht" sheetId="1" r:id="rId2"/>
    <sheet name="Details" sheetId="3" r:id="rId3"/>
  </sheets>
  <calcPr calcId="125725"/>
  <customWorkbookViews>
    <customWorkbookView name="Becker" guid="{6F527328-663B-4944-BE31-FA39F89D0BB8}" maximized="1" windowWidth="1428" windowHeight="795" activeSheetId="3"/>
  </customWorkbookViews>
</workbook>
</file>

<file path=xl/calcChain.xml><?xml version="1.0" encoding="utf-8"?>
<calcChain xmlns="http://schemas.openxmlformats.org/spreadsheetml/2006/main">
  <c r="B33" i="3"/>
  <c r="B65"/>
  <c r="B53"/>
  <c r="B22" l="1"/>
  <c r="H17" i="1" l="1"/>
  <c r="B48" i="3"/>
  <c r="B73" l="1"/>
  <c r="B72"/>
  <c r="B67"/>
  <c r="B66"/>
  <c r="B41"/>
  <c r="B40"/>
  <c r="B80"/>
  <c r="B82" s="1"/>
  <c r="B85" s="1"/>
  <c r="B19" i="1" s="1"/>
  <c r="B68" i="3" l="1"/>
  <c r="B69" s="1"/>
  <c r="B84"/>
  <c r="B42"/>
  <c r="B43" s="1"/>
  <c r="B74"/>
  <c r="B75" s="1"/>
  <c r="B7"/>
  <c r="F20" i="1" l="1"/>
  <c r="H20" s="1"/>
  <c r="H34" s="1"/>
  <c r="D5"/>
  <c r="B4"/>
  <c r="B5"/>
  <c r="D4"/>
  <c r="D6"/>
  <c r="B6"/>
  <c r="B33"/>
  <c r="B9" i="3"/>
  <c r="D34" i="1"/>
  <c r="D33"/>
  <c r="D18"/>
  <c r="B31"/>
  <c r="B16"/>
  <c r="H33"/>
  <c r="F31"/>
  <c r="F34"/>
  <c r="F33"/>
  <c r="B60" i="3"/>
  <c r="D31" i="1"/>
  <c r="D16"/>
  <c r="B34"/>
  <c r="B18"/>
  <c r="B32" s="1"/>
  <c r="H16"/>
  <c r="F16"/>
  <c r="H31"/>
  <c r="B26" i="3"/>
  <c r="B9" i="1" l="1"/>
  <c r="B7"/>
  <c r="B8"/>
  <c r="F6"/>
  <c r="H6"/>
  <c r="D9"/>
  <c r="F5"/>
  <c r="D8"/>
  <c r="H5"/>
  <c r="D22"/>
  <c r="F4"/>
  <c r="D7"/>
  <c r="H4"/>
  <c r="F30"/>
  <c r="B32" i="3"/>
  <c r="B35" s="1"/>
  <c r="B22" i="1" s="1"/>
  <c r="B29" i="3"/>
  <c r="B34" s="1"/>
  <c r="H30" i="1"/>
  <c r="D30"/>
  <c r="D21"/>
  <c r="B23"/>
  <c r="B37" s="1"/>
  <c r="D23"/>
  <c r="D24"/>
  <c r="B24"/>
  <c r="B38" s="1"/>
  <c r="B30"/>
  <c r="F18"/>
  <c r="D32"/>
  <c r="F7" l="1"/>
  <c r="H7"/>
  <c r="H9"/>
  <c r="F9"/>
  <c r="B10"/>
  <c r="C7" s="1"/>
  <c r="D10"/>
  <c r="H8"/>
  <c r="F8"/>
  <c r="D37"/>
  <c r="F23"/>
  <c r="B36"/>
  <c r="B26"/>
  <c r="F22"/>
  <c r="D26"/>
  <c r="D36"/>
  <c r="B21"/>
  <c r="B36" i="3"/>
  <c r="B37" s="1"/>
  <c r="H18" i="1"/>
  <c r="F32"/>
  <c r="F24"/>
  <c r="D38"/>
  <c r="D35"/>
  <c r="F21"/>
  <c r="D25"/>
  <c r="D13" l="1"/>
  <c r="E10"/>
  <c r="E5"/>
  <c r="E6"/>
  <c r="E4"/>
  <c r="E9"/>
  <c r="B13"/>
  <c r="E8"/>
  <c r="C8"/>
  <c r="E7"/>
  <c r="C6"/>
  <c r="C10"/>
  <c r="C4"/>
  <c r="F10"/>
  <c r="C9"/>
  <c r="C5"/>
  <c r="B40"/>
  <c r="H10"/>
  <c r="D39"/>
  <c r="D27"/>
  <c r="D40"/>
  <c r="H32"/>
  <c r="F37"/>
  <c r="H23"/>
  <c r="H37" s="1"/>
  <c r="F35"/>
  <c r="H21"/>
  <c r="H35" s="1"/>
  <c r="F25"/>
  <c r="H24"/>
  <c r="H38" s="1"/>
  <c r="F38"/>
  <c r="B35"/>
  <c r="B25"/>
  <c r="B27" s="1"/>
  <c r="H22"/>
  <c r="F26"/>
  <c r="F36"/>
  <c r="H13" l="1"/>
  <c r="I10"/>
  <c r="I5"/>
  <c r="I6"/>
  <c r="I4"/>
  <c r="F13"/>
  <c r="G10"/>
  <c r="G4"/>
  <c r="G6"/>
  <c r="G5"/>
  <c r="I9"/>
  <c r="G9"/>
  <c r="G7"/>
  <c r="I7"/>
  <c r="I8"/>
  <c r="G8"/>
  <c r="B39"/>
  <c r="D41"/>
  <c r="F40"/>
  <c r="F27"/>
  <c r="H36"/>
  <c r="H26"/>
  <c r="H25"/>
  <c r="F39"/>
  <c r="E41" l="1"/>
  <c r="E31"/>
  <c r="E34"/>
  <c r="E33"/>
  <c r="E30"/>
  <c r="E32"/>
  <c r="E37"/>
  <c r="E35"/>
  <c r="E38"/>
  <c r="E36"/>
  <c r="H40"/>
  <c r="E39"/>
  <c r="E40"/>
  <c r="B41"/>
  <c r="H39"/>
  <c r="F41"/>
  <c r="G40" s="1"/>
  <c r="H27"/>
  <c r="G39" l="1"/>
  <c r="H41"/>
  <c r="I40" s="1"/>
  <c r="G41"/>
  <c r="G31"/>
  <c r="G34"/>
  <c r="G33"/>
  <c r="G30"/>
  <c r="G32"/>
  <c r="G38"/>
  <c r="G37"/>
  <c r="G36"/>
  <c r="G35"/>
  <c r="C41"/>
  <c r="C32"/>
  <c r="C34"/>
  <c r="C33"/>
  <c r="C31"/>
  <c r="C37"/>
  <c r="C38"/>
  <c r="C30"/>
  <c r="C36"/>
  <c r="C40"/>
  <c r="C35"/>
  <c r="C39"/>
  <c r="I41" l="1"/>
  <c r="I31"/>
  <c r="I34"/>
  <c r="I33"/>
  <c r="I30"/>
  <c r="I35"/>
  <c r="I37"/>
  <c r="I32"/>
  <c r="I38"/>
  <c r="I36"/>
  <c r="I39"/>
</calcChain>
</file>

<file path=xl/sharedStrings.xml><?xml version="1.0" encoding="utf-8"?>
<sst xmlns="http://schemas.openxmlformats.org/spreadsheetml/2006/main" count="245" uniqueCount="180">
  <si>
    <t>INSIKA</t>
  </si>
  <si>
    <t>Erläuterung</t>
  </si>
  <si>
    <t>Kassenzertifizierung (optional)</t>
  </si>
  <si>
    <t>Kassennachschau für Verwaltung</t>
  </si>
  <si>
    <t>Kassen pro Verkaufsstelle</t>
  </si>
  <si>
    <t>Kassennachschauen ohne Datenzugriff</t>
  </si>
  <si>
    <t>Kassennachschauen mit Datenzugriff</t>
  </si>
  <si>
    <t>Allgemein</t>
  </si>
  <si>
    <t>BMF-Verfahren</t>
  </si>
  <si>
    <t>Kosten Smartcard</t>
  </si>
  <si>
    <t>Stundensatz Unternehmen</t>
  </si>
  <si>
    <t>Kassenplätze Einzelhandel</t>
  </si>
  <si>
    <t>Kassenplätze Gastronomie</t>
  </si>
  <si>
    <t>Kassenplätze Sonstiges</t>
  </si>
  <si>
    <t>Kassenplätze gesamt</t>
  </si>
  <si>
    <t>Verkaufsstellen mit Registrierkassen</t>
  </si>
  <si>
    <t>Im Regelfall nur Beobachtung und Belegprüfung erforderlich</t>
  </si>
  <si>
    <t>In Verdachtsfällen genauere Prüfung per Datenzugriff</t>
  </si>
  <si>
    <t>Reine Beobachtung und Belegprüfung erfordert keine Mitarbeit des Unternehmers</t>
  </si>
  <si>
    <t>Immer Datenzugriff und Systemprüfung erforderlich</t>
  </si>
  <si>
    <t>Kassennachschauen pro 100 Verkaufstellen und Jahr</t>
  </si>
  <si>
    <t>Betriebsprüfungen pro 100 Verkaufstellen und Jahr</t>
  </si>
  <si>
    <t>Kosten für Belege</t>
  </si>
  <si>
    <t>Gesamtumsatz über Registrierkassen (Mio. €)</t>
  </si>
  <si>
    <t>Durchschnittsbetrag pro Vorgang</t>
  </si>
  <si>
    <t>Anzahl Vorgänge (Mio.)</t>
  </si>
  <si>
    <t>Bisherige Belegquote</t>
  </si>
  <si>
    <t>Zusätzliche Belege durch Belegpflicht (Mio.)</t>
  </si>
  <si>
    <t>Kosten pro Beleg (Cent)</t>
  </si>
  <si>
    <t>Kosten der Belege heute</t>
  </si>
  <si>
    <t>Quelle: EHI Retail Institute, Statistik Kassen im Einzelhandel 2013</t>
  </si>
  <si>
    <t>Gerundet auf volle Hundert</t>
  </si>
  <si>
    <t>Kassen pro Sicherheitseinrichtung</t>
  </si>
  <si>
    <t>Mehrfachnutzung lt. Gesetzentwurf vorgesehen, Schätzwert</t>
  </si>
  <si>
    <t>Nutzungsdauer Registrierkasse (Jahre)</t>
  </si>
  <si>
    <t>Jährlicher Aufwand pro Kasse</t>
  </si>
  <si>
    <t>Kosten Verwaltung für eine Kassennachschau</t>
  </si>
  <si>
    <t>Kosten Unternehmen für eine Kassennachschau</t>
  </si>
  <si>
    <t>Kosten für eine Kassennachschau (je Verkaufsstelle)</t>
  </si>
  <si>
    <t>Kosten für eine Kassennachschau (je Kasse)</t>
  </si>
  <si>
    <t>Kosten Unternehmen für eine Kassenprüfung</t>
  </si>
  <si>
    <t>Kosten Verwaltung für eine Kassenprüfung</t>
  </si>
  <si>
    <t>Kosten für eine Kassenprüfung (je Kasse)</t>
  </si>
  <si>
    <t>Kosten für eine Kassenprüfung (je Verkaufsstelle)</t>
  </si>
  <si>
    <t>Anmerkungen</t>
  </si>
  <si>
    <t>Annahme: Einsatz von wartungsfreien Thermodruckern, Kosten = Papierkosten</t>
  </si>
  <si>
    <t>Kosten zusätzliche Belege bei Belegpflicht</t>
  </si>
  <si>
    <t>Zeitaufwand Unternehmen Nachschau ohne Datenzugriff (h)</t>
  </si>
  <si>
    <t>Zeitaufwand Unternehmen Nachschau mit Datenzugriff (h)</t>
  </si>
  <si>
    <t>Zeitaufwand Unternehmen insgesamt (h)</t>
  </si>
  <si>
    <t>Zeitaufwand Verwaltung Nachschau ohne Datenzugriff (h)</t>
  </si>
  <si>
    <t>Zeitaufwand Verwaltung Nachschau mit Datenzugriff (h)</t>
  </si>
  <si>
    <t>Zeitaufwand Verwaltung insgesamt (h)</t>
  </si>
  <si>
    <t>Zeitaufwand Unternehmen für eine Kassenprüfung (h)</t>
  </si>
  <si>
    <t>Zeitaufwand Verwaltung für eine Kassenprüfung (h)</t>
  </si>
  <si>
    <t>Kosten Sicherheitseinrichtung</t>
  </si>
  <si>
    <t>Kosten Sicherheitseinrichtung Mittelwert</t>
  </si>
  <si>
    <t>Kosten Sicherheitseinrichtung minimal</t>
  </si>
  <si>
    <t>Kosten Sicherheitseinrichtung maximal</t>
  </si>
  <si>
    <t>Jährlicher Aufwand gesamt</t>
  </si>
  <si>
    <t>Mehrkosten Registrierkassen</t>
  </si>
  <si>
    <t>Mehrkosten für Neugeräte</t>
  </si>
  <si>
    <t>Stückzahl pro Modell (Plausibilitätsprüfung)</t>
  </si>
  <si>
    <t>Kosten pro Kassenzertifizierung</t>
  </si>
  <si>
    <t>Kassenmodelle/Softwareprodukte auf dem Markt</t>
  </si>
  <si>
    <t>Rezertifizierung alle X Jahre</t>
  </si>
  <si>
    <t>Produkt wird X Jahre lang angeboten</t>
  </si>
  <si>
    <t>Mehrkosten Registrierkassenhardware</t>
  </si>
  <si>
    <t>Mehrkosten für Belege</t>
  </si>
  <si>
    <t>Wartungkosten</t>
  </si>
  <si>
    <t>Wartungskosten</t>
  </si>
  <si>
    <t>Umstellungsaufwand gesamt (einmalig)</t>
  </si>
  <si>
    <t>Umstellungsaufwand pro Kasse (einmalig)</t>
  </si>
  <si>
    <t>Sicherheitseinrichtung:</t>
  </si>
  <si>
    <t>Erstellt vom ADM e.V. (www.insika.de)</t>
  </si>
  <si>
    <t xml:space="preserve">Kassenprüfung für Verwaltung </t>
  </si>
  <si>
    <t>Summe Unternehmen</t>
  </si>
  <si>
    <t>Kassenprüfung für Unternehmen</t>
  </si>
  <si>
    <t>Kassennachschau für Unternehmen</t>
  </si>
  <si>
    <t>Summe Verwaltung</t>
  </si>
  <si>
    <t>Summe gesamt</t>
  </si>
  <si>
    <t>Günstigstes Angebot für "control unit" in Schweden</t>
  </si>
  <si>
    <t>Annahme: Eine Nachschau pro Verkaufsstelle und Jahr als minimal sinnvolle Kontrolldichte</t>
  </si>
  <si>
    <t>Kosten für Update Sicherheitseinrichtung</t>
  </si>
  <si>
    <t>Update Sicherheitseinrichtung alle X Jahre</t>
  </si>
  <si>
    <t>*1</t>
  </si>
  <si>
    <t>*2</t>
  </si>
  <si>
    <t>Erläuterungen</t>
  </si>
  <si>
    <t>BMF mittel</t>
  </si>
  <si>
    <t>Quelle: DIHK, Stellungnahme vom 16.02.2015</t>
  </si>
  <si>
    <t>Schätzung ADM e.V.</t>
  </si>
  <si>
    <t>Stundensatz Finanzverwaltung (statistischer Durchschnitt)</t>
  </si>
  <si>
    <t>Marktpreis für "Fiskalbox" in Belgien</t>
  </si>
  <si>
    <t>Schätzung ADM e.V. unter der  Annahme, dass bei einem Teil der Geräte die Integration einer zusätzlichen Schnittstelle erforderlich ist</t>
  </si>
  <si>
    <t>Schätzung ADM e.V.: ca. eine Technikerstunde zzgl. Fahrtkosten, Softwarelizenzen etc.</t>
  </si>
  <si>
    <t>Fast deckungsgleich mit den Aussagen verschiedener Verbände</t>
  </si>
  <si>
    <t>Schätzung ADM e.V.: basiert auf Rückmeldungen verschiedener Anbieter</t>
  </si>
  <si>
    <t>Schätzung ADM e.V.: Mittelwert (10 € Kartenleser plus 10 € für sonstige Anpassungen)</t>
  </si>
  <si>
    <t>Alle Preise zzgl. Umsatzsteuer (also Nettopreise)</t>
  </si>
  <si>
    <t xml:space="preserve">Verkaufsstelle: </t>
  </si>
  <si>
    <t>Teil der Betriebsprüfung, der die Kassenführung prüft</t>
  </si>
  <si>
    <t>Kassenprüfung:</t>
  </si>
  <si>
    <t>Kostenanalyse Referentenentwurf BMF vom 18.03.2016 vs. INSIKA-Verfahren</t>
  </si>
  <si>
    <t>Annahme eines Durchschnitts (unterster Bereich) über alle Betriebsgrößenklassen</t>
  </si>
  <si>
    <t>Quelle: OFD NRW (Referat St 4 für Außenprüfungsdienste u.a.)</t>
  </si>
  <si>
    <t>Schätzung ADM e.V.: Neuzertifizierung bedingt durch Produktänderungen</t>
  </si>
  <si>
    <t xml:space="preserve">Schätzung ADM e.V.: Bereitstellung Daten und Beantwortung von Rückfragen </t>
  </si>
  <si>
    <t>Schätzung ADM e.V.: Aufwand für Systemprüfung und Vollständigkeitsprüfung</t>
  </si>
  <si>
    <t>Schätzung ADM e.V. - siehe auch "Kostenanalyse Fiskalisierung D"</t>
  </si>
  <si>
    <t>Quelle: OFD NRW - Referat St 4: M-, K- und Kst-Betriebe (unter Berücksichtigung des Umstands, dass Unternehmen in Risiko-/Bargeldbranchen häufiger als der Schnitt geprüft werden)</t>
  </si>
  <si>
    <t>Datenbereitstellung, Organisatorisches, Beantworten von Rückfragen</t>
  </si>
  <si>
    <t>Gewichtet entsprechend der beiden Varianten der Kassennachschau</t>
  </si>
  <si>
    <t>Beobachtung, Belegprüfung, Prüfung mehrerer räumlich zusammenliegender Verkaufsstellen</t>
  </si>
  <si>
    <t>Datenverifikation und Plausibilitätsprüfungen (wird sich i.d.R. um Verdachtsfall handeln)</t>
  </si>
  <si>
    <t xml:space="preserve"> Bereitstellung Daten und Beantwortung von Rückfragen</t>
  </si>
  <si>
    <t>Prüfablauf entspricht der Kassennachschau mit Datenzugriff</t>
  </si>
  <si>
    <t>Unklar, ob erforderlich, Umfang unklar; daher Übernahme der Angabe aus Gesetzentwurf</t>
  </si>
  <si>
    <t>Markt ist stark fragmentiert, viele Speziallösungen mit kleinen Stückzahlen</t>
  </si>
  <si>
    <t>Schätzung ADM e.V.: mittlere Lebensdauer eines Produkts von Freigabe bis Abkündigung</t>
  </si>
  <si>
    <t>Zeitaufwand Unternehmen Nachschau (h)</t>
  </si>
  <si>
    <t>Zeitaufwand Verwaltung Nachschau  (h)</t>
  </si>
  <si>
    <t>Schätzung ADM e.V. auf Basis "Kostenanalyse Fiskalisierung D"</t>
  </si>
  <si>
    <t>BMF minimal</t>
  </si>
  <si>
    <t>BMF maximal</t>
  </si>
  <si>
    <t>*3</t>
  </si>
  <si>
    <t xml:space="preserve">Ort, an dem Waren und Dienstleistungen angeboten werden - unabhängig von der Unternehmensstruktur. Technisch ausgestattet mit einem oder mehreren Kassensystemen. </t>
  </si>
  <si>
    <t>Der Teil des Systems, der die technische Absicherung der Daten übernimmt - beim Referententwurf entsprechend dort gemachten Definition, bei INSIKA ist es die Signaturerstellungseinheit (i.d.R. eine Smartcard)</t>
  </si>
  <si>
    <t>Es wird von einer festen Frequenz für Prüfung und Nachschauen ausgegangen und dafür werden die Kosten ermittelt - nur so sind Daten vergleichbar. In der Realität wird die Häufigkeit von Prüfungen und Nachschauen an die Kapazität der Verwaltung angepasst werden - mit entsprechenden Auswirkung auf die Steuereinnahmen.</t>
  </si>
  <si>
    <t>Bei INSIKA wird zur Vereinfachtung immer eine Sicherheitseinrichtung pro Kasse angnommen, obwohl auch die Nutzung durch mehrere Kassen möglich ist.</t>
  </si>
  <si>
    <t>Keine Registrierkassenpflicht und keine "Flucht in offene Ladenkasse" - also unveränderter Gerätebestand.</t>
  </si>
  <si>
    <t>Bei INSIKA wird eine Nutzungsdauer der Sicherheitseinrichtung analog zur Nutzerungsdauer der Kassen angenommen (also kein Austausch).</t>
  </si>
  <si>
    <t>Wartungskosten für Verfahren aus Referentenentwurf basiert auf der Annahme, dass für Sicherheitseinrichtung Updates erforderlich sind (diese sind ausdrücklich im Gesetzentwurf erwähnt).</t>
  </si>
  <si>
    <t>Ausgangspunkt für die Kostenschätzung der Registrierkassen ist ein System mit Einzelaufzeichnung, das also dem BMF-Schreiben vom 26.11.2010 entspricht. Eine Umstellung von Systemen ohne Einzelaufzeichnung ist aufwändiger.</t>
  </si>
  <si>
    <t>Eingabefelder sind grau hinterlegt - Werte darin können ohne Weiteres verändert werden.</t>
  </si>
  <si>
    <t>Mangels genauer Zahlen erfolgt kein Vergleich mit dem Status quo. Hier jedoch eine kurze Abschätzung: Bei ca. 150.000 Betriebsprüfungen in mittleren, Klein- und Kleinstunternehmen pro jahr (Quelle: Monatsbericht BMF 10/2015) dürfte mindestens ein Drittel Kassenprüfungen beeinhalten. Bei einem Aufwand von je einer Woche bei der Verwaltung und drei Tagen bei Unternehmen ergeben sich daraus jährliche Kosten von 100 Mio. plus 60 Mio. €.</t>
  </si>
  <si>
    <t>Die Sicherheitseinrichtung muss eine Hardwarelösung sein (enthält Sicherheitsmodul, Speichermedium und Echtzeituhr). In mündlichen Auskünften des BMF ist auch von Softwarelösungen gesprochen - diese sind aber weder mit der Beschreibung noch mit hohen Sicherheitsanforderungen in Einklang zu bringen.</t>
  </si>
  <si>
    <t>Die Zertifzierung soll sich vermutlich auf Sicherheitseinrichtung beschränken - es gab auch entsprechende Auskünfte des BMF. Zertifizierungen der Registrierkassen folgt jedoch aus einer Textstelle - daher wird der Fall zusätzlich betrachtet.</t>
  </si>
  <si>
    <t>*4</t>
  </si>
  <si>
    <t>Personalbedarf für Kassennachauen in der Verwaltung</t>
  </si>
  <si>
    <t>Anteil umrüstbarer Geräte</t>
  </si>
  <si>
    <t>Anteil Geräte in der Übergangsfrist regulär getauscht</t>
  </si>
  <si>
    <t>Geräte, die erneuert werden müssen</t>
  </si>
  <si>
    <t>Kosten für Nachrüstung (ohne Smartcard)</t>
  </si>
  <si>
    <t>Kosten für Austausch</t>
  </si>
  <si>
    <t>Umzurüstende Geräte</t>
  </si>
  <si>
    <t>In Übergangsphase neu angeschaffte Geräte</t>
  </si>
  <si>
    <t>Ausgetauschte Geräte</t>
  </si>
  <si>
    <t xml:space="preserve">Kosten Umrüstung </t>
  </si>
  <si>
    <t>Kosten Austausch</t>
  </si>
  <si>
    <t>*5</t>
  </si>
  <si>
    <t>*6</t>
  </si>
  <si>
    <t>Gesamtkosten</t>
  </si>
  <si>
    <t>Kosten für Umstellung</t>
  </si>
  <si>
    <t>Kosten Neuanschaffung Übergangsphase</t>
  </si>
  <si>
    <t>Kosten für Nachrüstung (ohne Sicherheitseinrichtung)</t>
  </si>
  <si>
    <t>Quelle: EHI Retail Institute für Handel, lt. Schätzungen ADM e.V., vergleichbar in anderen Branchen</t>
  </si>
  <si>
    <t>AUSLEGUNG REFERENTENENTWURF</t>
  </si>
  <si>
    <t>ANNAHMEN</t>
  </si>
  <si>
    <t>BEGRIFFE</t>
  </si>
  <si>
    <t>HINWEISE</t>
  </si>
  <si>
    <t>Entwicklung und Zertifizierung der Sicherheitseinrichtungen ist nicht separat aufgeführt, da sie in der Praxis von den Hersteller auf die Stückpreise umgelegt wird (für die resultierenden Stückpreise exisitieren auch Vergleichswerte). Das gilt auch für Verwaltung des zentralen Verzeichnisses der Sicherheitseinrichtungen beim INSIKA-Verfahren.</t>
  </si>
  <si>
    <t>Schätzwert - für detaillierte Analyse siehe "Kostenanalyse Fiskalisierung Deutschland"</t>
  </si>
  <si>
    <t>Aufgrund sehr ähnlicher Anforderungen an die Registrierkassen Werte für INSIKA übernommen</t>
  </si>
  <si>
    <r>
      <rPr>
        <b/>
        <i/>
        <sz val="11"/>
        <color rgb="FF0000FF"/>
        <rFont val="Calibri"/>
        <family val="2"/>
        <scheme val="minor"/>
      </rPr>
      <t>*5</t>
    </r>
    <r>
      <rPr>
        <i/>
        <sz val="11"/>
        <color theme="1"/>
        <rFont val="Calibri"/>
        <family val="2"/>
        <scheme val="minor"/>
      </rPr>
      <t>: Im "Minimalfall" keine Wartungskosten, da diese nicht unbedingt zwingend nötig erscheinen.</t>
    </r>
  </si>
  <si>
    <r>
      <rPr>
        <b/>
        <i/>
        <sz val="11"/>
        <color rgb="FF0000FF"/>
        <rFont val="Calibri"/>
        <family val="2"/>
        <scheme val="minor"/>
      </rPr>
      <t>*4</t>
    </r>
    <r>
      <rPr>
        <i/>
        <sz val="11"/>
        <color theme="1"/>
        <rFont val="Calibri"/>
        <family val="2"/>
        <scheme val="minor"/>
      </rPr>
      <t>: Gesetzentwurf ist diesbezüglich mehrdeutig - daher Berücksichtigung nur im ungünstigsten Fall.</t>
    </r>
  </si>
  <si>
    <r>
      <rPr>
        <b/>
        <i/>
        <sz val="11"/>
        <color rgb="FF0000FF"/>
        <rFont val="Calibri"/>
        <family val="2"/>
        <scheme val="minor"/>
      </rPr>
      <t>*3</t>
    </r>
    <r>
      <rPr>
        <i/>
        <sz val="11"/>
        <color theme="1"/>
        <rFont val="Calibri"/>
        <family val="2"/>
        <scheme val="minor"/>
      </rPr>
      <t>: Betrifft die Ausstattung regulär neu angeschaffter Geräte mit Sicherheitseinrichtungen.</t>
    </r>
  </si>
  <si>
    <r>
      <rPr>
        <b/>
        <i/>
        <sz val="11"/>
        <color rgb="FFC00000"/>
        <rFont val="Calibri"/>
        <family val="2"/>
        <scheme val="minor"/>
      </rPr>
      <t>*2</t>
    </r>
    <r>
      <rPr>
        <i/>
        <sz val="11"/>
        <color theme="1"/>
        <rFont val="Calibri"/>
        <family val="2"/>
        <scheme val="minor"/>
      </rPr>
      <t>: Nur Kosten für Umrüstung und Austausch; Kosten für Neuanschaffung in Übergangsphase wären später ohnehin angefallen.</t>
    </r>
  </si>
  <si>
    <r>
      <rPr>
        <b/>
        <i/>
        <sz val="11"/>
        <color rgb="FFC00000"/>
        <rFont val="Calibri"/>
        <family val="2"/>
        <scheme val="minor"/>
      </rPr>
      <t>*1</t>
    </r>
    <r>
      <rPr>
        <i/>
        <sz val="11"/>
        <color theme="1"/>
        <rFont val="Calibri"/>
        <family val="2"/>
        <scheme val="minor"/>
      </rPr>
      <t>: Kosten setzten sich zusammen aus Sicherheitseinrichtung und Verteuerung von Neugeräten.</t>
    </r>
  </si>
  <si>
    <r>
      <rPr>
        <b/>
        <i/>
        <sz val="11"/>
        <color rgb="FF0000FF"/>
        <rFont val="Calibri"/>
        <family val="2"/>
        <scheme val="minor"/>
      </rPr>
      <t>*6</t>
    </r>
    <r>
      <rPr>
        <i/>
        <sz val="11"/>
        <color theme="1"/>
        <rFont val="Calibri"/>
        <family val="2"/>
        <scheme val="minor"/>
      </rPr>
      <t>: Kosten würde enstehen duch Personalbedarf. In der Realität würde die Prüfungsdichte reduziert (mit Auswirkungen auf Steueraufkommen).</t>
    </r>
  </si>
  <si>
    <t>%</t>
  </si>
  <si>
    <t>SZENARIEN FÜR KOSTEN REFERENTENENTWURF</t>
  </si>
  <si>
    <t>Verfügbare Arbeitsstunden Verwaltung pro Jahr und Mitarbeiter</t>
  </si>
  <si>
    <t>Annahme: Vollzeiteinsatz für Kassennachschauen</t>
  </si>
  <si>
    <t xml:space="preserve">Aufgrund der Unklarheiten im Referentenentwurf werden drei verschiedene Kostenszenarien betrachtet:
</t>
  </si>
  <si>
    <t>Schätzung ADM e.V.: Preis für Kleinstückzahlen z.Zt. 75 €, grds. vergleichbares Produkt 9 € in Österreich (Preis vermutlich nicht kostendeckend)</t>
  </si>
  <si>
    <t>Stand: 10.05.2016</t>
  </si>
  <si>
    <t>Alle Kosten werden als Gesamtbetrag ermittelt und dann auf die Geräte umgelegt, wiederkehrende Kosten sind pro Jahr berechnet</t>
  </si>
  <si>
    <r>
      <rPr>
        <b/>
        <sz val="11"/>
        <color theme="1"/>
        <rFont val="Calibri"/>
        <family val="2"/>
        <scheme val="minor"/>
      </rPr>
      <t>Minimal:</t>
    </r>
    <r>
      <rPr>
        <sz val="11"/>
        <color theme="1"/>
        <rFont val="Calibri"/>
        <family val="2"/>
        <scheme val="minor"/>
      </rPr>
      <t xml:space="preserve"> Sicherheitseinrichtung € 250 pro Stück; keine Wartungskosten für Sicherheitseinrichtung; keine Zertifizierung der Registrierkassen</t>
    </r>
  </si>
  <si>
    <r>
      <rPr>
        <b/>
        <sz val="11"/>
        <color theme="1"/>
        <rFont val="Calibri"/>
        <family val="2"/>
        <scheme val="minor"/>
      </rPr>
      <t>Mittel:</t>
    </r>
    <r>
      <rPr>
        <sz val="11"/>
        <color theme="1"/>
        <rFont val="Calibri"/>
        <family val="2"/>
        <scheme val="minor"/>
      </rPr>
      <t xml:space="preserve"> Sicherheitseinrichtung € 315 pro Stück; Update der Sicherheitseinrichtung alle vier Jahre; keine Zertifizierung der Registrierkassen</t>
    </r>
  </si>
  <si>
    <r>
      <rPr>
        <b/>
        <sz val="11"/>
        <color theme="1"/>
        <rFont val="Calibri"/>
        <family val="2"/>
        <scheme val="minor"/>
      </rPr>
      <t>Maximal:</t>
    </r>
    <r>
      <rPr>
        <sz val="11"/>
        <color theme="1"/>
        <rFont val="Calibri"/>
        <family val="2"/>
        <scheme val="minor"/>
      </rPr>
      <t xml:space="preserve"> Sicherheitseinrichtung € 380 pro Stück; Update der Sicherheitseinrichtung alle vier Jahre; Zertifizierung der Registrierkassen</t>
    </r>
  </si>
</sst>
</file>

<file path=xl/styles.xml><?xml version="1.0" encoding="utf-8"?>
<styleSheet xmlns="http://schemas.openxmlformats.org/spreadsheetml/2006/main">
  <numFmts count="3">
    <numFmt numFmtId="164" formatCode="#,##0.00\ &quot;€&quot;"/>
    <numFmt numFmtId="165" formatCode="#,##0\ &quot;€&quot;"/>
    <numFmt numFmtId="166" formatCode="0.0%"/>
  </numFmts>
  <fonts count="22">
    <font>
      <sz val="11"/>
      <color theme="1"/>
      <name val="Calibri"/>
      <family val="2"/>
      <scheme val="minor"/>
    </font>
    <font>
      <sz val="11"/>
      <name val="Symbol"/>
      <family val="1"/>
      <charset val="2"/>
    </font>
    <font>
      <b/>
      <sz val="11"/>
      <color theme="1"/>
      <name val="Calibri"/>
      <family val="2"/>
      <scheme val="minor"/>
    </font>
    <font>
      <b/>
      <sz val="14"/>
      <color theme="1"/>
      <name val="Calibri"/>
      <family val="2"/>
      <scheme val="minor"/>
    </font>
    <font>
      <b/>
      <sz val="11"/>
      <color rgb="FF0000FF"/>
      <name val="Calibri"/>
      <family val="2"/>
      <scheme val="minor"/>
    </font>
    <font>
      <b/>
      <sz val="11"/>
      <color rgb="FF002060"/>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b/>
      <sz val="11"/>
      <color rgb="FFFF0000"/>
      <name val="Calibri"/>
      <family val="2"/>
      <scheme val="minor"/>
    </font>
    <font>
      <b/>
      <sz val="11"/>
      <color rgb="FF006600"/>
      <name val="Calibri"/>
      <family val="2"/>
      <scheme val="minor"/>
    </font>
    <font>
      <sz val="11"/>
      <color rgb="FF006600"/>
      <name val="Calibri"/>
      <family val="2"/>
      <scheme val="minor"/>
    </font>
    <font>
      <sz val="11"/>
      <color rgb="FFC00000"/>
      <name val="Calibri"/>
      <family val="2"/>
      <scheme val="minor"/>
    </font>
    <font>
      <sz val="11"/>
      <color rgb="FF0000FF"/>
      <name val="Calibri"/>
      <family val="2"/>
      <scheme val="minor"/>
    </font>
    <font>
      <b/>
      <sz val="11"/>
      <color rgb="FF800000"/>
      <name val="Calibri"/>
      <family val="2"/>
      <scheme val="minor"/>
    </font>
    <font>
      <sz val="11"/>
      <color rgb="FF800000"/>
      <name val="Calibri"/>
      <family val="2"/>
      <scheme val="minor"/>
    </font>
    <font>
      <sz val="11"/>
      <name val="Calibri"/>
      <family val="2"/>
      <scheme val="minor"/>
    </font>
    <font>
      <b/>
      <sz val="11"/>
      <color rgb="FFFF0000"/>
      <name val="Calibri"/>
      <family val="2"/>
    </font>
    <font>
      <b/>
      <sz val="11"/>
      <color theme="9" tint="-0.249977111117893"/>
      <name val="Calibri"/>
      <family val="2"/>
      <scheme val="minor"/>
    </font>
    <font>
      <b/>
      <i/>
      <sz val="11"/>
      <color rgb="FFC00000"/>
      <name val="Calibri"/>
      <family val="2"/>
      <scheme val="minor"/>
    </font>
    <font>
      <b/>
      <i/>
      <sz val="11"/>
      <color rgb="FF0000FF"/>
      <name val="Calibri"/>
      <family val="2"/>
      <scheme val="minor"/>
    </font>
    <font>
      <sz val="11"/>
      <color theme="1" tint="0.34998626667073579"/>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2">
    <xf numFmtId="0" fontId="0" fillId="0" borderId="0" xfId="0"/>
    <xf numFmtId="0" fontId="0" fillId="0" borderId="0" xfId="0" applyAlignment="1">
      <alignment vertical="center"/>
    </xf>
    <xf numFmtId="0" fontId="6" fillId="0" borderId="0" xfId="0" applyFont="1" applyAlignment="1">
      <alignment horizontal="left"/>
    </xf>
    <xf numFmtId="165" fontId="0" fillId="3" borderId="0" xfId="0" applyNumberFormat="1" applyFill="1" applyBorder="1" applyAlignment="1">
      <alignment vertical="center"/>
    </xf>
    <xf numFmtId="165" fontId="4" fillId="3" borderId="7" xfId="0" applyNumberFormat="1" applyFont="1" applyFill="1" applyBorder="1" applyAlignment="1">
      <alignment vertical="center"/>
    </xf>
    <xf numFmtId="164" fontId="0" fillId="5" borderId="0" xfId="0" applyNumberFormat="1" applyFill="1" applyBorder="1" applyAlignment="1">
      <alignment vertical="center"/>
    </xf>
    <xf numFmtId="164" fontId="5" fillId="5" borderId="7" xfId="0" applyNumberFormat="1" applyFont="1" applyFill="1" applyBorder="1" applyAlignment="1">
      <alignment vertical="center"/>
    </xf>
    <xf numFmtId="0" fontId="0" fillId="3" borderId="5" xfId="0" applyFill="1" applyBorder="1" applyAlignment="1">
      <alignment horizontal="center" vertical="center"/>
    </xf>
    <xf numFmtId="164" fontId="0" fillId="4" borderId="0" xfId="0" applyNumberFormat="1" applyFill="1" applyBorder="1" applyAlignment="1">
      <alignment vertical="center"/>
    </xf>
    <xf numFmtId="0" fontId="4" fillId="3" borderId="3" xfId="0" applyFont="1" applyFill="1" applyBorder="1" applyAlignment="1">
      <alignment horizontal="center"/>
    </xf>
    <xf numFmtId="0" fontId="5" fillId="5" borderId="3" xfId="0" applyFont="1" applyFill="1" applyBorder="1" applyAlignment="1">
      <alignment horizontal="center"/>
    </xf>
    <xf numFmtId="0" fontId="9" fillId="7" borderId="3" xfId="0" applyFont="1" applyFill="1" applyBorder="1" applyAlignment="1">
      <alignment horizontal="center"/>
    </xf>
    <xf numFmtId="0" fontId="8" fillId="4" borderId="3" xfId="0" applyFont="1" applyFill="1" applyBorder="1" applyAlignment="1">
      <alignment horizontal="center"/>
    </xf>
    <xf numFmtId="3" fontId="0" fillId="2" borderId="0" xfId="0" applyNumberFormat="1" applyFill="1" applyBorder="1" applyAlignment="1">
      <alignment vertical="center"/>
    </xf>
    <xf numFmtId="164" fontId="0" fillId="2" borderId="0" xfId="0" applyNumberFormat="1" applyFill="1" applyBorder="1" applyAlignment="1">
      <alignment vertical="center"/>
    </xf>
    <xf numFmtId="9" fontId="0" fillId="2" borderId="0" xfId="0" applyNumberFormat="1" applyFill="1" applyBorder="1" applyAlignment="1">
      <alignment vertical="center"/>
    </xf>
    <xf numFmtId="3" fontId="0" fillId="5" borderId="0" xfId="0" applyNumberFormat="1" applyFill="1" applyBorder="1" applyAlignment="1">
      <alignment vertical="center"/>
    </xf>
    <xf numFmtId="9" fontId="0" fillId="7" borderId="0" xfId="0" applyNumberFormat="1" applyFill="1" applyBorder="1" applyAlignment="1">
      <alignment vertical="center"/>
    </xf>
    <xf numFmtId="0" fontId="0" fillId="7" borderId="0" xfId="0" applyNumberFormat="1" applyFill="1" applyBorder="1" applyAlignment="1">
      <alignment vertical="center"/>
    </xf>
    <xf numFmtId="164" fontId="0" fillId="7" borderId="0" xfId="0" applyNumberFormat="1" applyFill="1" applyBorder="1" applyAlignment="1">
      <alignment vertical="center"/>
    </xf>
    <xf numFmtId="3" fontId="0" fillId="4" borderId="0" xfId="0" applyNumberFormat="1" applyFill="1" applyBorder="1" applyAlignment="1">
      <alignment vertical="center"/>
    </xf>
    <xf numFmtId="0" fontId="10" fillId="6" borderId="1" xfId="0" applyFont="1" applyFill="1" applyBorder="1" applyAlignment="1">
      <alignment vertical="center"/>
    </xf>
    <xf numFmtId="0" fontId="11" fillId="6" borderId="2" xfId="0" applyFont="1" applyFill="1" applyBorder="1" applyAlignment="1">
      <alignment vertical="center"/>
    </xf>
    <xf numFmtId="0" fontId="10" fillId="6" borderId="3" xfId="0" applyFont="1" applyFill="1" applyBorder="1" applyAlignment="1">
      <alignment vertical="center"/>
    </xf>
    <xf numFmtId="0" fontId="0" fillId="6" borderId="4" xfId="0" applyFill="1" applyBorder="1" applyAlignment="1">
      <alignment vertical="center"/>
    </xf>
    <xf numFmtId="3" fontId="0" fillId="6" borderId="0" xfId="0" applyNumberFormat="1" applyFill="1" applyBorder="1" applyAlignment="1">
      <alignment vertical="center"/>
    </xf>
    <xf numFmtId="0" fontId="0" fillId="6" borderId="5" xfId="0" applyFill="1" applyBorder="1" applyAlignment="1">
      <alignment vertical="center"/>
    </xf>
    <xf numFmtId="165" fontId="0" fillId="6" borderId="0" xfId="0" applyNumberFormat="1" applyFill="1" applyBorder="1" applyAlignment="1">
      <alignment vertical="center"/>
    </xf>
    <xf numFmtId="0" fontId="0" fillId="6" borderId="6" xfId="0" applyFill="1" applyBorder="1" applyAlignment="1">
      <alignment vertical="center"/>
    </xf>
    <xf numFmtId="165" fontId="0" fillId="6" borderId="7" xfId="0" applyNumberFormat="1" applyFill="1" applyBorder="1" applyAlignment="1">
      <alignment vertical="center"/>
    </xf>
    <xf numFmtId="0" fontId="0" fillId="6" borderId="8" xfId="0" applyFill="1" applyBorder="1" applyAlignment="1">
      <alignment vertical="center"/>
    </xf>
    <xf numFmtId="0" fontId="0" fillId="7" borderId="4" xfId="0" applyFill="1" applyBorder="1" applyAlignment="1">
      <alignment vertical="top"/>
    </xf>
    <xf numFmtId="0" fontId="0" fillId="7" borderId="6" xfId="0" applyFill="1" applyBorder="1" applyAlignment="1">
      <alignment vertical="top"/>
    </xf>
    <xf numFmtId="4" fontId="0" fillId="2" borderId="0" xfId="0" applyNumberFormat="1" applyFill="1" applyBorder="1" applyAlignment="1">
      <alignment vertical="center"/>
    </xf>
    <xf numFmtId="0" fontId="4" fillId="3" borderId="2" xfId="0" applyFont="1" applyFill="1" applyBorder="1" applyAlignment="1">
      <alignment horizontal="right"/>
    </xf>
    <xf numFmtId="0" fontId="8" fillId="4" borderId="2" xfId="0" applyFont="1" applyFill="1" applyBorder="1" applyAlignment="1">
      <alignment horizontal="right"/>
    </xf>
    <xf numFmtId="0" fontId="9" fillId="7" borderId="2" xfId="0" applyFont="1" applyFill="1" applyBorder="1" applyAlignment="1">
      <alignment horizontal="right"/>
    </xf>
    <xf numFmtId="0" fontId="5" fillId="5" borderId="2" xfId="0" applyFont="1" applyFill="1" applyBorder="1" applyAlignment="1">
      <alignment horizontal="right"/>
    </xf>
    <xf numFmtId="0" fontId="0" fillId="4" borderId="5" xfId="0" applyFill="1" applyBorder="1" applyAlignment="1">
      <alignment horizontal="center"/>
    </xf>
    <xf numFmtId="0" fontId="0" fillId="0" borderId="0" xfId="0" applyAlignment="1">
      <alignment horizontal="center"/>
    </xf>
    <xf numFmtId="0" fontId="0" fillId="3" borderId="8" xfId="0" applyFill="1" applyBorder="1" applyAlignment="1">
      <alignment horizontal="center" vertical="center"/>
    </xf>
    <xf numFmtId="0" fontId="0" fillId="5" borderId="5" xfId="0" applyFill="1" applyBorder="1" applyAlignment="1">
      <alignment horizontal="center" vertical="center"/>
    </xf>
    <xf numFmtId="0" fontId="0" fillId="5" borderId="8" xfId="0" applyFill="1" applyBorder="1" applyAlignment="1">
      <alignment horizontal="center" vertical="center"/>
    </xf>
    <xf numFmtId="0" fontId="0" fillId="0" borderId="0" xfId="0" applyAlignment="1">
      <alignment wrapText="1"/>
    </xf>
    <xf numFmtId="0" fontId="10" fillId="6" borderId="1" xfId="0" applyFont="1" applyFill="1" applyBorder="1" applyAlignment="1">
      <alignment vertical="top"/>
    </xf>
    <xf numFmtId="0" fontId="0" fillId="6" borderId="2" xfId="0" applyFill="1" applyBorder="1" applyAlignment="1">
      <alignment vertical="top"/>
    </xf>
    <xf numFmtId="0" fontId="0" fillId="6" borderId="3" xfId="0" applyFill="1" applyBorder="1" applyAlignment="1">
      <alignment vertical="top"/>
    </xf>
    <xf numFmtId="0" fontId="16" fillId="6" borderId="4" xfId="0" applyFont="1" applyFill="1" applyBorder="1" applyAlignment="1">
      <alignment vertical="top"/>
    </xf>
    <xf numFmtId="0" fontId="0" fillId="6" borderId="0" xfId="0" applyFill="1" applyBorder="1" applyAlignment="1">
      <alignment vertical="top"/>
    </xf>
    <xf numFmtId="0" fontId="0" fillId="6" borderId="5" xfId="0" applyFill="1" applyBorder="1" applyAlignment="1">
      <alignment vertical="top"/>
    </xf>
    <xf numFmtId="0" fontId="4" fillId="7" borderId="1" xfId="0" applyFont="1" applyFill="1" applyBorder="1" applyAlignment="1">
      <alignment vertical="top"/>
    </xf>
    <xf numFmtId="0" fontId="0" fillId="7" borderId="2" xfId="0" applyFill="1" applyBorder="1" applyAlignment="1">
      <alignment vertical="top"/>
    </xf>
    <xf numFmtId="0" fontId="0" fillId="7" borderId="3" xfId="0" applyFill="1" applyBorder="1" applyAlignment="1">
      <alignment vertical="top"/>
    </xf>
    <xf numFmtId="9" fontId="0" fillId="7" borderId="0" xfId="0" applyNumberFormat="1" applyFill="1" applyBorder="1" applyAlignment="1">
      <alignment vertical="center" wrapText="1"/>
    </xf>
    <xf numFmtId="3" fontId="0" fillId="4" borderId="0" xfId="0" applyNumberFormat="1" applyFill="1" applyBorder="1"/>
    <xf numFmtId="165" fontId="0" fillId="4" borderId="0" xfId="0" applyNumberFormat="1" applyFill="1" applyBorder="1"/>
    <xf numFmtId="0" fontId="7" fillId="0" borderId="0" xfId="0" applyFont="1"/>
    <xf numFmtId="9" fontId="0" fillId="4" borderId="0" xfId="0" applyNumberFormat="1" applyFill="1" applyBorder="1" applyAlignment="1">
      <alignment vertical="center"/>
    </xf>
    <xf numFmtId="165" fontId="8" fillId="4" borderId="7" xfId="0" applyNumberFormat="1" applyFont="1" applyFill="1" applyBorder="1"/>
    <xf numFmtId="165" fontId="9" fillId="7" borderId="7" xfId="0" applyNumberFormat="1" applyFont="1" applyFill="1" applyBorder="1" applyAlignment="1">
      <alignment vertical="center"/>
    </xf>
    <xf numFmtId="0" fontId="9" fillId="7" borderId="8" xfId="0" applyFont="1" applyFill="1" applyBorder="1" applyAlignment="1">
      <alignment horizontal="center" vertical="center"/>
    </xf>
    <xf numFmtId="0" fontId="2" fillId="3" borderId="5" xfId="0" applyFont="1" applyFill="1" applyBorder="1" applyAlignment="1">
      <alignment horizontal="center" vertical="center"/>
    </xf>
    <xf numFmtId="0" fontId="0" fillId="3" borderId="2" xfId="0" applyFill="1" applyBorder="1"/>
    <xf numFmtId="0" fontId="0" fillId="3" borderId="3" xfId="0" applyFill="1" applyBorder="1"/>
    <xf numFmtId="0" fontId="18" fillId="3" borderId="1" xfId="0" applyFont="1" applyFill="1" applyBorder="1"/>
    <xf numFmtId="3" fontId="0" fillId="2" borderId="10" xfId="0" applyNumberFormat="1" applyFill="1" applyBorder="1" applyAlignment="1">
      <alignment vertical="center"/>
    </xf>
    <xf numFmtId="0" fontId="0" fillId="2" borderId="10" xfId="0" applyFill="1" applyBorder="1" applyAlignment="1">
      <alignment vertical="center"/>
    </xf>
    <xf numFmtId="164" fontId="0" fillId="2" borderId="10" xfId="0" applyNumberFormat="1" applyFill="1" applyBorder="1" applyAlignment="1">
      <alignment vertical="center"/>
    </xf>
    <xf numFmtId="0" fontId="0" fillId="2" borderId="10" xfId="0" applyNumberFormat="1" applyFill="1" applyBorder="1" applyAlignment="1">
      <alignment vertical="center"/>
    </xf>
    <xf numFmtId="9" fontId="0" fillId="2" borderId="10" xfId="0" applyNumberFormat="1" applyFill="1" applyBorder="1" applyAlignment="1">
      <alignment vertical="center"/>
    </xf>
    <xf numFmtId="165" fontId="0" fillId="2" borderId="10" xfId="0" applyNumberFormat="1" applyFill="1" applyBorder="1" applyAlignment="1">
      <alignment vertical="center"/>
    </xf>
    <xf numFmtId="0" fontId="0" fillId="2" borderId="10" xfId="0" applyFill="1" applyBorder="1" applyAlignment="1">
      <alignment vertical="top"/>
    </xf>
    <xf numFmtId="0" fontId="8" fillId="4" borderId="5" xfId="0" applyFont="1" applyFill="1" applyBorder="1" applyAlignment="1">
      <alignment horizontal="center"/>
    </xf>
    <xf numFmtId="0" fontId="8" fillId="4" borderId="8" xfId="0" applyFont="1" applyFill="1" applyBorder="1" applyAlignment="1">
      <alignment horizontal="center"/>
    </xf>
    <xf numFmtId="0" fontId="4" fillId="3" borderId="5" xfId="0" applyFont="1" applyFill="1" applyBorder="1" applyAlignment="1">
      <alignment horizontal="center" vertical="center"/>
    </xf>
    <xf numFmtId="0" fontId="7" fillId="0" borderId="0" xfId="0" applyFont="1" applyAlignment="1">
      <alignment horizontal="left"/>
    </xf>
    <xf numFmtId="0" fontId="0" fillId="0" borderId="0" xfId="0" applyBorder="1" applyAlignment="1">
      <alignment vertical="center"/>
    </xf>
    <xf numFmtId="0" fontId="14" fillId="5" borderId="1" xfId="0" applyFont="1" applyFill="1" applyBorder="1" applyAlignment="1">
      <alignment horizontal="left" vertical="center"/>
    </xf>
    <xf numFmtId="0" fontId="15" fillId="5" borderId="2" xfId="0" applyFont="1" applyFill="1" applyBorder="1" applyAlignment="1">
      <alignment vertical="center"/>
    </xf>
    <xf numFmtId="0" fontId="14" fillId="5" borderId="3" xfId="0" applyFont="1" applyFill="1" applyBorder="1" applyAlignment="1">
      <alignment vertical="center"/>
    </xf>
    <xf numFmtId="0" fontId="0" fillId="5" borderId="4" xfId="0" applyFill="1" applyBorder="1" applyAlignment="1">
      <alignment vertical="center"/>
    </xf>
    <xf numFmtId="0" fontId="0" fillId="5" borderId="5" xfId="0" applyFill="1" applyBorder="1" applyAlignment="1">
      <alignment vertical="center" wrapText="1"/>
    </xf>
    <xf numFmtId="0" fontId="0" fillId="5" borderId="4" xfId="0" applyFont="1" applyFill="1" applyBorder="1" applyAlignment="1">
      <alignment horizontal="left" vertical="center"/>
    </xf>
    <xf numFmtId="0" fontId="0" fillId="5" borderId="6" xfId="0" applyFill="1" applyBorder="1" applyAlignment="1">
      <alignment vertical="center"/>
    </xf>
    <xf numFmtId="0" fontId="0" fillId="2" borderId="11" xfId="0" applyNumberFormat="1" applyFill="1" applyBorder="1" applyAlignment="1">
      <alignment vertical="center"/>
    </xf>
    <xf numFmtId="0" fontId="0" fillId="5" borderId="8" xfId="0" applyFill="1" applyBorder="1" applyAlignment="1">
      <alignment vertical="center" wrapText="1"/>
    </xf>
    <xf numFmtId="0" fontId="4" fillId="7" borderId="1" xfId="0" applyFont="1" applyFill="1" applyBorder="1" applyAlignment="1">
      <alignment vertical="center"/>
    </xf>
    <xf numFmtId="0" fontId="13" fillId="7" borderId="2" xfId="0" applyFont="1" applyFill="1" applyBorder="1" applyAlignment="1">
      <alignment vertical="center"/>
    </xf>
    <xf numFmtId="0" fontId="4" fillId="7" borderId="3" xfId="0" applyFont="1" applyFill="1" applyBorder="1" applyAlignment="1">
      <alignment vertical="center" wrapText="1"/>
    </xf>
    <xf numFmtId="0" fontId="0" fillId="7" borderId="4" xfId="0" applyFill="1" applyBorder="1" applyAlignment="1">
      <alignment vertical="center"/>
    </xf>
    <xf numFmtId="0" fontId="0" fillId="7" borderId="5" xfId="0" applyFill="1" applyBorder="1" applyAlignment="1">
      <alignment vertical="center" wrapText="1"/>
    </xf>
    <xf numFmtId="0" fontId="0" fillId="7" borderId="6" xfId="0" applyFill="1" applyBorder="1" applyAlignment="1">
      <alignment vertical="center"/>
    </xf>
    <xf numFmtId="164" fontId="0" fillId="7" borderId="7" xfId="0" applyNumberFormat="1" applyFill="1" applyBorder="1" applyAlignment="1">
      <alignment vertical="center"/>
    </xf>
    <xf numFmtId="0" fontId="0" fillId="7" borderId="8" xfId="0" applyFill="1" applyBorder="1" applyAlignment="1">
      <alignment vertical="center" wrapText="1"/>
    </xf>
    <xf numFmtId="0" fontId="8" fillId="4" borderId="1" xfId="0" applyFont="1" applyFill="1" applyBorder="1" applyAlignment="1">
      <alignment vertical="center"/>
    </xf>
    <xf numFmtId="164" fontId="12" fillId="4" borderId="2" xfId="0" applyNumberFormat="1" applyFont="1" applyFill="1" applyBorder="1" applyAlignment="1">
      <alignment vertical="center"/>
    </xf>
    <xf numFmtId="0" fontId="8" fillId="4" borderId="3" xfId="0" applyFont="1" applyFill="1" applyBorder="1" applyAlignment="1">
      <alignment vertical="center" wrapText="1"/>
    </xf>
    <xf numFmtId="0" fontId="0" fillId="4" borderId="4" xfId="0" applyFill="1" applyBorder="1" applyAlignment="1">
      <alignment vertical="center"/>
    </xf>
    <xf numFmtId="0" fontId="0" fillId="4" borderId="5" xfId="0" applyFill="1" applyBorder="1" applyAlignment="1">
      <alignment vertical="center" wrapText="1"/>
    </xf>
    <xf numFmtId="0" fontId="0" fillId="4" borderId="5" xfId="0" applyFill="1" applyBorder="1" applyAlignment="1">
      <alignment vertical="center"/>
    </xf>
    <xf numFmtId="0" fontId="0" fillId="4" borderId="6" xfId="0" applyFill="1" applyBorder="1" applyAlignment="1">
      <alignment vertical="center"/>
    </xf>
    <xf numFmtId="164" fontId="0" fillId="4" borderId="7" xfId="0" applyNumberFormat="1" applyFill="1" applyBorder="1" applyAlignment="1">
      <alignment vertical="center"/>
    </xf>
    <xf numFmtId="0" fontId="0" fillId="4" borderId="8" xfId="0" applyFill="1" applyBorder="1" applyAlignment="1">
      <alignment vertical="center"/>
    </xf>
    <xf numFmtId="166" fontId="21" fillId="4" borderId="5" xfId="0" applyNumberFormat="1" applyFont="1" applyFill="1" applyBorder="1"/>
    <xf numFmtId="166" fontId="21" fillId="4" borderId="8" xfId="0" applyNumberFormat="1" applyFont="1" applyFill="1" applyBorder="1"/>
    <xf numFmtId="0" fontId="8" fillId="4" borderId="3" xfId="0" applyFont="1" applyFill="1" applyBorder="1" applyAlignment="1">
      <alignment horizontal="right"/>
    </xf>
    <xf numFmtId="0" fontId="5" fillId="5" borderId="3" xfId="0" applyFont="1" applyFill="1" applyBorder="1" applyAlignment="1">
      <alignment horizontal="right"/>
    </xf>
    <xf numFmtId="166" fontId="21" fillId="5" borderId="5" xfId="0" applyNumberFormat="1" applyFont="1" applyFill="1" applyBorder="1" applyAlignment="1">
      <alignment vertical="center"/>
    </xf>
    <xf numFmtId="166" fontId="21" fillId="5" borderId="8" xfId="0" applyNumberFormat="1" applyFont="1" applyFill="1" applyBorder="1" applyAlignment="1">
      <alignment vertical="center"/>
    </xf>
    <xf numFmtId="3" fontId="0" fillId="7" borderId="0" xfId="0" applyNumberFormat="1" applyFill="1" applyBorder="1" applyAlignment="1">
      <alignment vertical="center"/>
    </xf>
    <xf numFmtId="0" fontId="4" fillId="3" borderId="3" xfId="0" applyFont="1" applyFill="1" applyBorder="1" applyAlignment="1">
      <alignment horizontal="right"/>
    </xf>
    <xf numFmtId="166" fontId="0" fillId="3" borderId="5" xfId="0" applyNumberFormat="1" applyFill="1" applyBorder="1" applyAlignment="1">
      <alignment vertical="center"/>
    </xf>
    <xf numFmtId="166" fontId="0" fillId="3" borderId="8" xfId="0" applyNumberFormat="1" applyFill="1" applyBorder="1" applyAlignment="1">
      <alignment vertical="center"/>
    </xf>
    <xf numFmtId="165" fontId="0" fillId="3" borderId="5" xfId="0" applyNumberFormat="1" applyFill="1" applyBorder="1" applyAlignment="1">
      <alignment vertical="center"/>
    </xf>
    <xf numFmtId="165" fontId="4" fillId="3" borderId="8" xfId="0" applyNumberFormat="1" applyFont="1" applyFill="1" applyBorder="1" applyAlignment="1">
      <alignment vertical="center"/>
    </xf>
    <xf numFmtId="0" fontId="8" fillId="4" borderId="12" xfId="0" applyFont="1" applyFill="1" applyBorder="1"/>
    <xf numFmtId="0" fontId="16" fillId="4" borderId="13" xfId="0" applyFont="1" applyFill="1" applyBorder="1" applyAlignment="1">
      <alignment horizontal="left"/>
    </xf>
    <xf numFmtId="0" fontId="8" fillId="4" borderId="14" xfId="0" applyFont="1" applyFill="1" applyBorder="1" applyAlignment="1">
      <alignment horizontal="left"/>
    </xf>
    <xf numFmtId="0" fontId="9" fillId="7" borderId="12" xfId="0" applyFont="1" applyFill="1" applyBorder="1"/>
    <xf numFmtId="0" fontId="17" fillId="7" borderId="14" xfId="0" applyFont="1" applyFill="1" applyBorder="1" applyAlignment="1">
      <alignment horizontal="left" vertical="center"/>
    </xf>
    <xf numFmtId="0" fontId="4" fillId="3" borderId="12" xfId="0" applyFont="1" applyFill="1" applyBorder="1"/>
    <xf numFmtId="0" fontId="0" fillId="3" borderId="13" xfId="0" applyFill="1" applyBorder="1" applyAlignment="1">
      <alignment horizontal="left" vertical="center"/>
    </xf>
    <xf numFmtId="0" fontId="4" fillId="3" borderId="14" xfId="0" applyFont="1" applyFill="1" applyBorder="1" applyAlignment="1">
      <alignment horizontal="left" vertical="center"/>
    </xf>
    <xf numFmtId="0" fontId="5" fillId="5" borderId="12" xfId="0" applyFont="1" applyFill="1" applyBorder="1" applyAlignment="1">
      <alignment vertical="center"/>
    </xf>
    <xf numFmtId="0" fontId="0" fillId="5" borderId="13" xfId="0" applyFill="1" applyBorder="1" applyAlignment="1">
      <alignment horizontal="left" vertical="center"/>
    </xf>
    <xf numFmtId="0" fontId="5" fillId="5" borderId="14" xfId="0" applyFont="1" applyFill="1" applyBorder="1" applyAlignment="1">
      <alignment horizontal="left" vertical="center"/>
    </xf>
    <xf numFmtId="0" fontId="3" fillId="0" borderId="0" xfId="0" applyFont="1" applyAlignment="1">
      <alignment horizontal="center" vertical="center"/>
    </xf>
    <xf numFmtId="0" fontId="0" fillId="5" borderId="4" xfId="0" applyFill="1" applyBorder="1" applyAlignment="1">
      <alignment horizontal="left" vertical="top" wrapText="1"/>
    </xf>
    <xf numFmtId="0" fontId="0" fillId="5" borderId="0" xfId="0" applyFill="1" applyBorder="1" applyAlignment="1">
      <alignment horizontal="left" vertical="top" wrapText="1"/>
    </xf>
    <xf numFmtId="0" fontId="0" fillId="5" borderId="5" xfId="0" applyFill="1" applyBorder="1" applyAlignment="1">
      <alignment horizontal="left" vertical="top" wrapText="1"/>
    </xf>
    <xf numFmtId="0" fontId="0" fillId="7" borderId="0" xfId="0" applyFill="1" applyBorder="1" applyAlignment="1">
      <alignment horizontal="left" vertical="top" wrapText="1"/>
    </xf>
    <xf numFmtId="0" fontId="0" fillId="7" borderId="5" xfId="0" applyFill="1" applyBorder="1" applyAlignment="1">
      <alignment horizontal="left" vertical="top" wrapText="1"/>
    </xf>
    <xf numFmtId="0" fontId="0" fillId="7" borderId="0" xfId="0" applyFill="1" applyBorder="1" applyAlignment="1">
      <alignment horizontal="left" vertical="top"/>
    </xf>
    <xf numFmtId="0" fontId="0" fillId="7" borderId="5" xfId="0" applyFill="1" applyBorder="1" applyAlignment="1">
      <alignment horizontal="left" vertical="top"/>
    </xf>
    <xf numFmtId="0" fontId="0" fillId="7" borderId="7" xfId="0" applyFill="1" applyBorder="1" applyAlignment="1">
      <alignment vertical="top" wrapText="1"/>
    </xf>
    <xf numFmtId="0" fontId="0" fillId="7" borderId="8" xfId="0" applyFill="1" applyBorder="1" applyAlignment="1">
      <alignment vertical="top" wrapText="1"/>
    </xf>
    <xf numFmtId="0" fontId="0" fillId="6" borderId="6"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0" borderId="0" xfId="0" applyAlignment="1">
      <alignment horizontal="left"/>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14" fillId="5" borderId="1" xfId="0" applyFont="1" applyFill="1" applyBorder="1" applyAlignment="1">
      <alignment horizontal="left" vertical="top" wrapText="1"/>
    </xf>
    <xf numFmtId="0" fontId="14" fillId="5" borderId="2" xfId="0" applyFont="1" applyFill="1" applyBorder="1" applyAlignment="1">
      <alignment horizontal="left" vertical="top" wrapText="1"/>
    </xf>
    <xf numFmtId="0" fontId="14" fillId="5" borderId="3" xfId="0" applyFont="1" applyFill="1" applyBorder="1" applyAlignment="1">
      <alignment horizontal="left" vertical="top" wrapText="1"/>
    </xf>
    <xf numFmtId="0" fontId="8" fillId="4" borderId="1" xfId="0" applyFont="1" applyFill="1" applyBorder="1" applyAlignment="1">
      <alignment horizontal="left" vertical="top"/>
    </xf>
    <xf numFmtId="0" fontId="8" fillId="4" borderId="2" xfId="0" applyFont="1" applyFill="1" applyBorder="1" applyAlignment="1">
      <alignment horizontal="left" vertical="top"/>
    </xf>
    <xf numFmtId="0" fontId="8" fillId="4" borderId="3" xfId="0" applyFont="1" applyFill="1" applyBorder="1" applyAlignment="1">
      <alignment horizontal="left" vertical="top"/>
    </xf>
    <xf numFmtId="0" fontId="2" fillId="0" borderId="9" xfId="0" applyFont="1" applyBorder="1" applyAlignment="1">
      <alignment horizontal="center" vertical="top"/>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0" borderId="9" xfId="0" applyBorder="1" applyAlignment="1">
      <alignment horizontal="center" vertical="top" wrapText="1"/>
    </xf>
    <xf numFmtId="0" fontId="0" fillId="0" borderId="9" xfId="0" applyBorder="1" applyAlignment="1">
      <alignment horizontal="center"/>
    </xf>
    <xf numFmtId="0" fontId="0" fillId="0" borderId="0" xfId="0" applyAlignment="1">
      <alignment horizontal="center"/>
    </xf>
    <xf numFmtId="0" fontId="0" fillId="0" borderId="9" xfId="0" applyBorder="1" applyAlignment="1">
      <alignment horizontal="center" vertical="top"/>
    </xf>
    <xf numFmtId="0" fontId="0" fillId="0" borderId="0" xfId="0" applyAlignment="1">
      <alignment horizontal="right"/>
    </xf>
    <xf numFmtId="0" fontId="0" fillId="0" borderId="7" xfId="0" applyBorder="1" applyAlignment="1">
      <alignment horizontal="center"/>
    </xf>
    <xf numFmtId="0" fontId="7" fillId="0" borderId="0" xfId="0" applyFont="1" applyAlignment="1">
      <alignment horizontal="left"/>
    </xf>
    <xf numFmtId="0" fontId="0" fillId="0" borderId="9" xfId="0" applyBorder="1" applyAlignment="1">
      <alignment horizontal="center" vertical="center"/>
    </xf>
    <xf numFmtId="0" fontId="1" fillId="0" borderId="9"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cellXfs>
  <cellStyles count="1">
    <cellStyle name="Standard" xfId="0" builtinId="0"/>
  </cellStyles>
  <dxfs count="0"/>
  <tableStyles count="0" defaultTableStyle="TableStyleMedium9" defaultPivotStyle="PivotStyleLight16"/>
  <colors>
    <mruColors>
      <color rgb="FF0000FF"/>
      <color rgb="FFFFFFCC"/>
      <color rgb="FFE3E1F7"/>
      <color rgb="FF800000"/>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H33"/>
  <sheetViews>
    <sheetView tabSelected="1" zoomScaleNormal="100" workbookViewId="0">
      <selection sqref="A1:H1"/>
    </sheetView>
  </sheetViews>
  <sheetFormatPr baseColWidth="10" defaultRowHeight="15"/>
  <cols>
    <col min="1" max="1" width="23.28515625" customWidth="1"/>
    <col min="8" max="8" width="13.28515625" customWidth="1"/>
  </cols>
  <sheetData>
    <row r="1" spans="1:8" ht="18.75">
      <c r="A1" s="126" t="s">
        <v>102</v>
      </c>
      <c r="B1" s="126"/>
      <c r="C1" s="126"/>
      <c r="D1" s="126"/>
      <c r="E1" s="126"/>
      <c r="F1" s="126"/>
      <c r="G1" s="126"/>
      <c r="H1" s="126"/>
    </row>
    <row r="2" spans="1:8">
      <c r="A2" s="163"/>
      <c r="B2" s="163"/>
      <c r="C2" s="163"/>
      <c r="D2" s="163"/>
      <c r="E2" s="163"/>
      <c r="F2" s="163"/>
      <c r="G2" s="163"/>
      <c r="H2" s="163"/>
    </row>
    <row r="3" spans="1:8">
      <c r="A3" s="139" t="s">
        <v>74</v>
      </c>
      <c r="B3" s="139"/>
      <c r="C3" s="139"/>
      <c r="D3" s="163"/>
      <c r="E3" s="163"/>
      <c r="F3" s="163"/>
      <c r="G3" s="165" t="s">
        <v>175</v>
      </c>
      <c r="H3" s="165"/>
    </row>
    <row r="4" spans="1:8" ht="15.75" customHeight="1">
      <c r="A4" s="166"/>
      <c r="B4" s="166"/>
      <c r="C4" s="166"/>
      <c r="D4" s="166"/>
      <c r="E4" s="166"/>
      <c r="F4" s="166"/>
      <c r="G4" s="166"/>
      <c r="H4" s="166"/>
    </row>
    <row r="5" spans="1:8" ht="18" customHeight="1">
      <c r="A5" s="44" t="s">
        <v>159</v>
      </c>
      <c r="B5" s="45"/>
      <c r="C5" s="45"/>
      <c r="D5" s="45"/>
      <c r="E5" s="45"/>
      <c r="F5" s="45"/>
      <c r="G5" s="45"/>
      <c r="H5" s="46"/>
    </row>
    <row r="6" spans="1:8" ht="18" customHeight="1">
      <c r="A6" s="47" t="s">
        <v>133</v>
      </c>
      <c r="B6" s="48"/>
      <c r="C6" s="48"/>
      <c r="D6" s="48"/>
      <c r="E6" s="48"/>
      <c r="F6" s="48"/>
      <c r="G6" s="71"/>
      <c r="H6" s="49"/>
    </row>
    <row r="7" spans="1:8" s="43" customFormat="1" ht="66" customHeight="1">
      <c r="A7" s="136" t="s">
        <v>134</v>
      </c>
      <c r="B7" s="137"/>
      <c r="C7" s="137"/>
      <c r="D7" s="137"/>
      <c r="E7" s="137"/>
      <c r="F7" s="137"/>
      <c r="G7" s="137"/>
      <c r="H7" s="138"/>
    </row>
    <row r="8" spans="1:8" ht="8.25" customHeight="1">
      <c r="A8" s="152"/>
      <c r="B8" s="152"/>
      <c r="C8" s="152"/>
      <c r="D8" s="152"/>
      <c r="E8" s="152"/>
      <c r="F8" s="152"/>
      <c r="G8" s="152"/>
      <c r="H8" s="152"/>
    </row>
    <row r="9" spans="1:8" ht="18" customHeight="1">
      <c r="A9" s="50" t="s">
        <v>158</v>
      </c>
      <c r="B9" s="51"/>
      <c r="C9" s="51"/>
      <c r="D9" s="51"/>
      <c r="E9" s="51"/>
      <c r="F9" s="51"/>
      <c r="G9" s="51"/>
      <c r="H9" s="52"/>
    </row>
    <row r="10" spans="1:8" ht="33.950000000000003" customHeight="1">
      <c r="A10" s="31" t="s">
        <v>99</v>
      </c>
      <c r="B10" s="130" t="s">
        <v>125</v>
      </c>
      <c r="C10" s="130"/>
      <c r="D10" s="130"/>
      <c r="E10" s="130"/>
      <c r="F10" s="130"/>
      <c r="G10" s="130"/>
      <c r="H10" s="131"/>
    </row>
    <row r="11" spans="1:8" ht="18" customHeight="1">
      <c r="A11" s="31" t="s">
        <v>101</v>
      </c>
      <c r="B11" s="132" t="s">
        <v>100</v>
      </c>
      <c r="C11" s="132"/>
      <c r="D11" s="132"/>
      <c r="E11" s="132"/>
      <c r="F11" s="132"/>
      <c r="G11" s="132"/>
      <c r="H11" s="133"/>
    </row>
    <row r="12" spans="1:8" ht="50.1" customHeight="1">
      <c r="A12" s="32" t="s">
        <v>73</v>
      </c>
      <c r="B12" s="134" t="s">
        <v>126</v>
      </c>
      <c r="C12" s="134"/>
      <c r="D12" s="134"/>
      <c r="E12" s="134"/>
      <c r="F12" s="134"/>
      <c r="G12" s="134"/>
      <c r="H12" s="135"/>
    </row>
    <row r="13" spans="1:8" ht="9" customHeight="1">
      <c r="A13" s="164"/>
      <c r="B13" s="164"/>
      <c r="C13" s="164"/>
      <c r="D13" s="164"/>
      <c r="E13" s="164"/>
      <c r="F13" s="164"/>
      <c r="G13" s="164"/>
      <c r="H13" s="164"/>
    </row>
    <row r="14" spans="1:8" ht="18" customHeight="1">
      <c r="A14" s="149" t="s">
        <v>157</v>
      </c>
      <c r="B14" s="150"/>
      <c r="C14" s="150"/>
      <c r="D14" s="150"/>
      <c r="E14" s="150"/>
      <c r="F14" s="150"/>
      <c r="G14" s="150"/>
      <c r="H14" s="151"/>
    </row>
    <row r="15" spans="1:8" ht="18" customHeight="1">
      <c r="A15" s="140" t="s">
        <v>129</v>
      </c>
      <c r="B15" s="141"/>
      <c r="C15" s="141"/>
      <c r="D15" s="141"/>
      <c r="E15" s="141"/>
      <c r="F15" s="141"/>
      <c r="G15" s="141"/>
      <c r="H15" s="142"/>
    </row>
    <row r="16" spans="1:8" ht="33.950000000000003" customHeight="1">
      <c r="A16" s="140" t="s">
        <v>176</v>
      </c>
      <c r="B16" s="141"/>
      <c r="C16" s="141"/>
      <c r="D16" s="141"/>
      <c r="E16" s="141"/>
      <c r="F16" s="141"/>
      <c r="G16" s="141"/>
      <c r="H16" s="142"/>
    </row>
    <row r="17" spans="1:8" ht="50.1" customHeight="1">
      <c r="A17" s="140" t="s">
        <v>127</v>
      </c>
      <c r="B17" s="141"/>
      <c r="C17" s="141"/>
      <c r="D17" s="141"/>
      <c r="E17" s="141"/>
      <c r="F17" s="141"/>
      <c r="G17" s="141"/>
      <c r="H17" s="142"/>
    </row>
    <row r="18" spans="1:8" ht="33.950000000000003" customHeight="1">
      <c r="A18" s="140" t="s">
        <v>128</v>
      </c>
      <c r="B18" s="141"/>
      <c r="C18" s="141"/>
      <c r="D18" s="141"/>
      <c r="E18" s="141"/>
      <c r="F18" s="141"/>
      <c r="G18" s="141"/>
      <c r="H18" s="142"/>
    </row>
    <row r="19" spans="1:8" ht="33.950000000000003" customHeight="1">
      <c r="A19" s="140" t="s">
        <v>130</v>
      </c>
      <c r="B19" s="141"/>
      <c r="C19" s="141"/>
      <c r="D19" s="141"/>
      <c r="E19" s="141"/>
      <c r="F19" s="141"/>
      <c r="G19" s="141"/>
      <c r="H19" s="142"/>
    </row>
    <row r="20" spans="1:8" ht="50.1" customHeight="1">
      <c r="A20" s="140" t="s">
        <v>160</v>
      </c>
      <c r="B20" s="141"/>
      <c r="C20" s="141"/>
      <c r="D20" s="141"/>
      <c r="E20" s="141"/>
      <c r="F20" s="141"/>
      <c r="G20" s="141"/>
      <c r="H20" s="142"/>
    </row>
    <row r="21" spans="1:8" ht="33.950000000000003" customHeight="1">
      <c r="A21" s="140" t="s">
        <v>131</v>
      </c>
      <c r="B21" s="141"/>
      <c r="C21" s="141"/>
      <c r="D21" s="141"/>
      <c r="E21" s="141"/>
      <c r="F21" s="141"/>
      <c r="G21" s="141"/>
      <c r="H21" s="142"/>
    </row>
    <row r="22" spans="1:8" ht="33.950000000000003" customHeight="1">
      <c r="A22" s="140" t="s">
        <v>132</v>
      </c>
      <c r="B22" s="141"/>
      <c r="C22" s="141"/>
      <c r="D22" s="141"/>
      <c r="E22" s="141"/>
      <c r="F22" s="141"/>
      <c r="G22" s="141"/>
      <c r="H22" s="142"/>
    </row>
    <row r="23" spans="1:8" ht="18" customHeight="1">
      <c r="A23" s="143" t="s">
        <v>98</v>
      </c>
      <c r="B23" s="144"/>
      <c r="C23" s="144"/>
      <c r="D23" s="144"/>
      <c r="E23" s="144"/>
      <c r="F23" s="144"/>
      <c r="G23" s="144"/>
      <c r="H23" s="145"/>
    </row>
    <row r="24" spans="1:8" ht="7.5" customHeight="1">
      <c r="A24" s="161"/>
      <c r="B24" s="161"/>
      <c r="C24" s="161"/>
      <c r="D24" s="161"/>
      <c r="E24" s="161"/>
      <c r="F24" s="161"/>
      <c r="G24" s="161"/>
      <c r="H24" s="161"/>
    </row>
    <row r="25" spans="1:8" ht="18" customHeight="1">
      <c r="A25" s="146" t="s">
        <v>156</v>
      </c>
      <c r="B25" s="147"/>
      <c r="C25" s="147"/>
      <c r="D25" s="147"/>
      <c r="E25" s="147"/>
      <c r="F25" s="147"/>
      <c r="G25" s="147"/>
      <c r="H25" s="148"/>
    </row>
    <row r="26" spans="1:8" ht="50.1" customHeight="1">
      <c r="A26" s="127" t="s">
        <v>135</v>
      </c>
      <c r="B26" s="128"/>
      <c r="C26" s="128"/>
      <c r="D26" s="128"/>
      <c r="E26" s="128"/>
      <c r="F26" s="128"/>
      <c r="G26" s="128"/>
      <c r="H26" s="129"/>
    </row>
    <row r="27" spans="1:8" ht="50.1" customHeight="1">
      <c r="A27" s="127" t="s">
        <v>136</v>
      </c>
      <c r="B27" s="128"/>
      <c r="C27" s="128"/>
      <c r="D27" s="128"/>
      <c r="E27" s="128"/>
      <c r="F27" s="128"/>
      <c r="G27" s="128"/>
      <c r="H27" s="129"/>
    </row>
    <row r="28" spans="1:8" ht="6.75" customHeight="1">
      <c r="A28" s="162"/>
      <c r="B28" s="162"/>
      <c r="C28" s="162"/>
      <c r="D28" s="162"/>
      <c r="E28" s="162"/>
      <c r="F28" s="162"/>
      <c r="G28" s="162"/>
      <c r="H28" s="162"/>
    </row>
    <row r="29" spans="1:8">
      <c r="A29" s="64" t="s">
        <v>170</v>
      </c>
      <c r="B29" s="62"/>
      <c r="C29" s="62"/>
      <c r="D29" s="62"/>
      <c r="E29" s="62"/>
      <c r="F29" s="62"/>
      <c r="G29" s="62"/>
      <c r="H29" s="63"/>
    </row>
    <row r="30" spans="1:8" ht="18" customHeight="1">
      <c r="A30" s="153" t="s">
        <v>173</v>
      </c>
      <c r="B30" s="154"/>
      <c r="C30" s="154"/>
      <c r="D30" s="154"/>
      <c r="E30" s="154"/>
      <c r="F30" s="154"/>
      <c r="G30" s="154"/>
      <c r="H30" s="155"/>
    </row>
    <row r="31" spans="1:8" ht="33.950000000000003" customHeight="1">
      <c r="A31" s="153" t="s">
        <v>177</v>
      </c>
      <c r="B31" s="154"/>
      <c r="C31" s="154"/>
      <c r="D31" s="154"/>
      <c r="E31" s="154"/>
      <c r="F31" s="154"/>
      <c r="G31" s="154"/>
      <c r="H31" s="155"/>
    </row>
    <row r="32" spans="1:8" ht="33.950000000000003" customHeight="1">
      <c r="A32" s="153" t="s">
        <v>178</v>
      </c>
      <c r="B32" s="156"/>
      <c r="C32" s="156"/>
      <c r="D32" s="156"/>
      <c r="E32" s="156"/>
      <c r="F32" s="156"/>
      <c r="G32" s="156"/>
      <c r="H32" s="157"/>
    </row>
    <row r="33" spans="1:8" ht="33.950000000000003" customHeight="1">
      <c r="A33" s="158" t="s">
        <v>179</v>
      </c>
      <c r="B33" s="159"/>
      <c r="C33" s="159"/>
      <c r="D33" s="159"/>
      <c r="E33" s="159"/>
      <c r="F33" s="159"/>
      <c r="G33" s="159"/>
      <c r="H33" s="160"/>
    </row>
  </sheetData>
  <customSheetViews>
    <customSheetView guid="{6F527328-663B-4944-BE31-FA39F89D0BB8}" scale="60" showPageBreaks="1" view="pageBreakPreview">
      <selection activeCell="L9" sqref="L9"/>
      <rowBreaks count="1" manualBreakCount="1">
        <brk id="29" max="16383" man="1"/>
      </rowBreaks>
      <pageMargins left="0.7" right="0.7" top="0.78740157499999996" bottom="0.78740157499999996" header="0.3" footer="0.3"/>
      <pageSetup paperSize="9" scale="83" orientation="portrait" horizontalDpi="1200" verticalDpi="1200" r:id="rId1"/>
    </customSheetView>
  </customSheetViews>
  <mergeCells count="31">
    <mergeCell ref="A2:H2"/>
    <mergeCell ref="A13:H13"/>
    <mergeCell ref="G3:H3"/>
    <mergeCell ref="D3:F3"/>
    <mergeCell ref="A30:H30"/>
    <mergeCell ref="A15:H15"/>
    <mergeCell ref="A16:H16"/>
    <mergeCell ref="A17:H17"/>
    <mergeCell ref="A18:H18"/>
    <mergeCell ref="A4:H4"/>
    <mergeCell ref="A31:H31"/>
    <mergeCell ref="A32:H32"/>
    <mergeCell ref="A33:H33"/>
    <mergeCell ref="A24:H24"/>
    <mergeCell ref="A28:H28"/>
    <mergeCell ref="A1:H1"/>
    <mergeCell ref="A26:H26"/>
    <mergeCell ref="A27:H27"/>
    <mergeCell ref="B10:H10"/>
    <mergeCell ref="B11:H11"/>
    <mergeCell ref="B12:H12"/>
    <mergeCell ref="A7:H7"/>
    <mergeCell ref="A3:C3"/>
    <mergeCell ref="A20:H20"/>
    <mergeCell ref="A21:H21"/>
    <mergeCell ref="A22:H22"/>
    <mergeCell ref="A23:H23"/>
    <mergeCell ref="A25:H25"/>
    <mergeCell ref="A14:H14"/>
    <mergeCell ref="A19:H19"/>
    <mergeCell ref="A8:H8"/>
  </mergeCells>
  <pageMargins left="0.70866141732283472" right="0.70866141732283472" top="0.74803149606299213" bottom="0.74803149606299213" header="0.31496062992125984" footer="0.31496062992125984"/>
  <pageSetup paperSize="9" scale="83" orientation="portrait" horizontalDpi="1200" verticalDpi="1200" r:id="rId2"/>
  <rowBreaks count="1" manualBreakCount="1">
    <brk id="28"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J49"/>
  <sheetViews>
    <sheetView zoomScaleNormal="100" workbookViewId="0">
      <selection sqref="A1:J1"/>
    </sheetView>
  </sheetViews>
  <sheetFormatPr baseColWidth="10" defaultRowHeight="15"/>
  <cols>
    <col min="1" max="1" width="42" customWidth="1"/>
    <col min="2" max="2" width="17.5703125" bestFit="1" customWidth="1"/>
    <col min="3" max="3" width="8.140625" bestFit="1" customWidth="1"/>
    <col min="4" max="4" width="18" bestFit="1" customWidth="1"/>
    <col min="5" max="5" width="7.140625" bestFit="1" customWidth="1"/>
    <col min="6" max="6" width="17.5703125" bestFit="1" customWidth="1"/>
    <col min="7" max="7" width="7.140625" bestFit="1" customWidth="1"/>
    <col min="8" max="8" width="18.42578125" bestFit="1" customWidth="1"/>
    <col min="9" max="9" width="7.140625" bestFit="1" customWidth="1"/>
    <col min="10" max="10" width="15.5703125" style="39" bestFit="1" customWidth="1"/>
  </cols>
  <sheetData>
    <row r="1" spans="1:10" ht="23.25" customHeight="1">
      <c r="A1" s="126" t="s">
        <v>102</v>
      </c>
      <c r="B1" s="126"/>
      <c r="C1" s="126"/>
      <c r="D1" s="126"/>
      <c r="E1" s="126"/>
      <c r="F1" s="126"/>
      <c r="G1" s="126"/>
      <c r="H1" s="126"/>
      <c r="I1" s="126"/>
      <c r="J1" s="126"/>
    </row>
    <row r="2" spans="1:10" ht="9.75" customHeight="1">
      <c r="A2" s="166"/>
      <c r="B2" s="166"/>
      <c r="C2" s="166"/>
      <c r="D2" s="166"/>
      <c r="E2" s="166"/>
      <c r="F2" s="166"/>
      <c r="G2" s="166"/>
      <c r="H2" s="166"/>
      <c r="I2" s="166"/>
      <c r="J2" s="166"/>
    </row>
    <row r="3" spans="1:10">
      <c r="A3" s="115" t="s">
        <v>71</v>
      </c>
      <c r="B3" s="35" t="s">
        <v>0</v>
      </c>
      <c r="C3" s="12" t="s">
        <v>169</v>
      </c>
      <c r="D3" s="35" t="s">
        <v>122</v>
      </c>
      <c r="E3" s="105" t="s">
        <v>169</v>
      </c>
      <c r="F3" s="35" t="s">
        <v>88</v>
      </c>
      <c r="G3" s="105" t="s">
        <v>169</v>
      </c>
      <c r="H3" s="35" t="s">
        <v>123</v>
      </c>
      <c r="I3" s="105" t="s">
        <v>169</v>
      </c>
      <c r="J3" s="12" t="s">
        <v>1</v>
      </c>
    </row>
    <row r="4" spans="1:10">
      <c r="A4" s="116" t="s">
        <v>145</v>
      </c>
      <c r="B4" s="54">
        <f>Details!B20*Details!$B$7</f>
        <v>383250</v>
      </c>
      <c r="C4" s="103">
        <f t="shared" ref="C4:C10" si="0">B4/B$10</f>
        <v>7.5757575757575758E-4</v>
      </c>
      <c r="D4" s="54">
        <f>Details!B51*Details!$B$7</f>
        <v>383250</v>
      </c>
      <c r="E4" s="103">
        <f t="shared" ref="E4:E10" si="1">D4/D$10</f>
        <v>7.6923076923076923E-4</v>
      </c>
      <c r="F4" s="54">
        <f>D4</f>
        <v>383250</v>
      </c>
      <c r="G4" s="103">
        <f t="shared" ref="G4:G10" si="2">F4/F$10</f>
        <v>6.993006993006993E-4</v>
      </c>
      <c r="H4" s="54">
        <f>D4</f>
        <v>383250</v>
      </c>
      <c r="I4" s="103">
        <f t="shared" ref="I4:I10" si="3">H4/H$10</f>
        <v>6.4102564102564103E-4</v>
      </c>
      <c r="J4" s="38"/>
    </row>
    <row r="5" spans="1:10">
      <c r="A5" s="116" t="s">
        <v>144</v>
      </c>
      <c r="B5" s="54">
        <f>Details!B21*Details!$B$7</f>
        <v>766500</v>
      </c>
      <c r="C5" s="103">
        <f t="shared" si="0"/>
        <v>1.5151515151515152E-3</v>
      </c>
      <c r="D5" s="54">
        <f>Details!B52*Details!$B$7</f>
        <v>766500</v>
      </c>
      <c r="E5" s="103">
        <f t="shared" si="1"/>
        <v>1.5384615384615385E-3</v>
      </c>
      <c r="F5" s="54">
        <f>D5</f>
        <v>766500</v>
      </c>
      <c r="G5" s="103">
        <f t="shared" si="2"/>
        <v>1.3986013986013986E-3</v>
      </c>
      <c r="H5" s="54">
        <f>D5</f>
        <v>766500</v>
      </c>
      <c r="I5" s="103">
        <f t="shared" si="3"/>
        <v>1.2820512820512821E-3</v>
      </c>
      <c r="J5" s="38"/>
    </row>
    <row r="6" spans="1:10">
      <c r="A6" s="116" t="s">
        <v>146</v>
      </c>
      <c r="B6" s="54">
        <f>Details!B22*Details!$B$7</f>
        <v>383250</v>
      </c>
      <c r="C6" s="103">
        <f t="shared" si="0"/>
        <v>7.5757575757575758E-4</v>
      </c>
      <c r="D6" s="54">
        <f>Details!B53*Details!$B$7</f>
        <v>383250</v>
      </c>
      <c r="E6" s="103">
        <f t="shared" si="1"/>
        <v>7.6923076923076923E-4</v>
      </c>
      <c r="F6" s="54">
        <f>D6</f>
        <v>383250</v>
      </c>
      <c r="G6" s="103">
        <f t="shared" si="2"/>
        <v>6.993006993006993E-4</v>
      </c>
      <c r="H6" s="54">
        <f>D6</f>
        <v>383250</v>
      </c>
      <c r="I6" s="103">
        <f t="shared" si="3"/>
        <v>6.4102564102564103E-4</v>
      </c>
      <c r="J6" s="38"/>
    </row>
    <row r="7" spans="1:10">
      <c r="A7" s="116" t="s">
        <v>153</v>
      </c>
      <c r="B7" s="55">
        <f>B4*(Details!B18+Details!B19)</f>
        <v>22995000</v>
      </c>
      <c r="C7" s="103">
        <f t="shared" si="0"/>
        <v>4.5454545454545456E-2</v>
      </c>
      <c r="D7" s="55">
        <f>D4/Details!B49*(Details!B50+Details!B46)</f>
        <v>65152500</v>
      </c>
      <c r="E7" s="103">
        <f t="shared" si="1"/>
        <v>0.13076923076923078</v>
      </c>
      <c r="F7" s="55">
        <f>H4/Details!B49*(Details!B50+Details!B48)</f>
        <v>81760000</v>
      </c>
      <c r="G7" s="103">
        <f t="shared" si="2"/>
        <v>0.14918414918414918</v>
      </c>
      <c r="H7" s="55">
        <f>F4/Details!B49*(Details!B50+Details!B47)</f>
        <v>98367500</v>
      </c>
      <c r="I7" s="103">
        <f t="shared" si="3"/>
        <v>0.16452991452991453</v>
      </c>
      <c r="J7" s="72" t="s">
        <v>85</v>
      </c>
    </row>
    <row r="8" spans="1:10">
      <c r="A8" s="116" t="s">
        <v>147</v>
      </c>
      <c r="B8" s="55">
        <f>B5*(Details!B23+Details!B18)</f>
        <v>260610000</v>
      </c>
      <c r="C8" s="103">
        <f t="shared" si="0"/>
        <v>0.51515151515151514</v>
      </c>
      <c r="D8" s="55">
        <f>D5/Details!B49*(Details!B54+Details!B46)</f>
        <v>281050000</v>
      </c>
      <c r="E8" s="103">
        <f t="shared" si="1"/>
        <v>0.5641025641025641</v>
      </c>
      <c r="F8" s="55">
        <f>F5/Details!B49*(Details!B54+Details!B48)</f>
        <v>314265000</v>
      </c>
      <c r="G8" s="103">
        <f t="shared" si="2"/>
        <v>0.57342657342657344</v>
      </c>
      <c r="H8" s="55">
        <f>F5/Details!B49*(Details!B54+Details!B47)</f>
        <v>347480000</v>
      </c>
      <c r="I8" s="103">
        <f t="shared" si="3"/>
        <v>0.58119658119658124</v>
      </c>
      <c r="J8" s="38"/>
    </row>
    <row r="9" spans="1:10">
      <c r="A9" s="116" t="s">
        <v>148</v>
      </c>
      <c r="B9" s="55">
        <f>B6*(Details!B24+Details!B18)</f>
        <v>245280000</v>
      </c>
      <c r="C9" s="103">
        <f t="shared" si="0"/>
        <v>0.48484848484848486</v>
      </c>
      <c r="D9" s="55">
        <f>D6/Details!B49*(Details!B55+Details!B46)</f>
        <v>217175000</v>
      </c>
      <c r="E9" s="103">
        <f t="shared" si="1"/>
        <v>0.4358974358974359</v>
      </c>
      <c r="F9" s="55">
        <f>H6/Details!B49*(Details!B55+Details!B48)</f>
        <v>233782500</v>
      </c>
      <c r="G9" s="103">
        <f t="shared" si="2"/>
        <v>0.42657342657342656</v>
      </c>
      <c r="H9" s="55">
        <f>F6/Details!B49*(Details!B55+Details!B47)</f>
        <v>250390000</v>
      </c>
      <c r="I9" s="103">
        <f t="shared" si="3"/>
        <v>0.41880341880341881</v>
      </c>
      <c r="J9" s="72"/>
    </row>
    <row r="10" spans="1:10">
      <c r="A10" s="117" t="s">
        <v>151</v>
      </c>
      <c r="B10" s="58">
        <f>SUM(B8:B9)</f>
        <v>505890000</v>
      </c>
      <c r="C10" s="104">
        <f t="shared" si="0"/>
        <v>1</v>
      </c>
      <c r="D10" s="58">
        <f>SUM(D8:D9)</f>
        <v>498225000</v>
      </c>
      <c r="E10" s="104">
        <f t="shared" si="1"/>
        <v>1</v>
      </c>
      <c r="F10" s="58">
        <f>SUM(F8:F9)</f>
        <v>548047500</v>
      </c>
      <c r="G10" s="104">
        <f t="shared" si="2"/>
        <v>1</v>
      </c>
      <c r="H10" s="58">
        <f>SUM(H8:H9)</f>
        <v>597870000</v>
      </c>
      <c r="I10" s="104">
        <f t="shared" si="3"/>
        <v>1</v>
      </c>
      <c r="J10" s="73" t="s">
        <v>86</v>
      </c>
    </row>
    <row r="11" spans="1:10" ht="7.5" customHeight="1">
      <c r="A11" s="169"/>
      <c r="B11" s="169"/>
      <c r="C11" s="169"/>
      <c r="D11" s="169"/>
      <c r="E11" s="169"/>
      <c r="F11" s="169"/>
      <c r="G11" s="169"/>
      <c r="H11" s="169"/>
      <c r="I11" s="169"/>
      <c r="J11" s="169"/>
    </row>
    <row r="12" spans="1:10">
      <c r="A12" s="118" t="s">
        <v>72</v>
      </c>
      <c r="B12" s="36" t="s">
        <v>0</v>
      </c>
      <c r="C12" s="36"/>
      <c r="D12" s="36" t="s">
        <v>122</v>
      </c>
      <c r="E12" s="36"/>
      <c r="F12" s="36" t="s">
        <v>88</v>
      </c>
      <c r="G12" s="36"/>
      <c r="H12" s="36" t="s">
        <v>123</v>
      </c>
      <c r="I12" s="36"/>
      <c r="J12" s="11" t="s">
        <v>1</v>
      </c>
    </row>
    <row r="13" spans="1:10" s="1" customFormat="1" ht="17.25" customHeight="1">
      <c r="A13" s="119" t="s">
        <v>152</v>
      </c>
      <c r="B13" s="59">
        <f>B10/Details!$B$7</f>
        <v>330</v>
      </c>
      <c r="C13" s="59"/>
      <c r="D13" s="59">
        <f>D10/Details!$B$7</f>
        <v>325</v>
      </c>
      <c r="E13" s="59"/>
      <c r="F13" s="59">
        <f>F10/Details!$B$7</f>
        <v>357.5</v>
      </c>
      <c r="G13" s="59"/>
      <c r="H13" s="59">
        <f>H10/Details!$B$7</f>
        <v>390</v>
      </c>
      <c r="I13" s="59"/>
      <c r="J13" s="60"/>
    </row>
    <row r="14" spans="1:10" ht="7.5" customHeight="1">
      <c r="A14" s="169"/>
      <c r="B14" s="169"/>
      <c r="C14" s="169"/>
      <c r="D14" s="169"/>
      <c r="E14" s="169"/>
      <c r="F14" s="169"/>
      <c r="G14" s="169"/>
      <c r="H14" s="169"/>
      <c r="I14" s="169"/>
      <c r="J14" s="169"/>
    </row>
    <row r="15" spans="1:10">
      <c r="A15" s="120" t="s">
        <v>59</v>
      </c>
      <c r="B15" s="34" t="s">
        <v>0</v>
      </c>
      <c r="C15" s="110"/>
      <c r="D15" s="34" t="s">
        <v>122</v>
      </c>
      <c r="E15" s="110"/>
      <c r="F15" s="34" t="s">
        <v>88</v>
      </c>
      <c r="G15" s="110"/>
      <c r="H15" s="34" t="s">
        <v>123</v>
      </c>
      <c r="I15" s="110"/>
      <c r="J15" s="9" t="s">
        <v>1</v>
      </c>
    </row>
    <row r="16" spans="1:10" s="1" customFormat="1" ht="18" customHeight="1">
      <c r="A16" s="121" t="s">
        <v>55</v>
      </c>
      <c r="B16" s="3">
        <f>ROUND(Details!B18*Details!B7/Details!B10,0)</f>
        <v>8760000</v>
      </c>
      <c r="C16" s="111"/>
      <c r="D16" s="3">
        <f>ROUND(Details!B46/Details!B49/Details!B10*Details!B7,0)</f>
        <v>36500000</v>
      </c>
      <c r="E16" s="113"/>
      <c r="F16" s="3">
        <f>ROUND(Details!B48/Details!B49/Details!B10*Details!B7,0)</f>
        <v>45990000</v>
      </c>
      <c r="G16" s="113"/>
      <c r="H16" s="3">
        <f>ROUND(Details!B47/Details!B49/Details!B10*Details!B7,0)</f>
        <v>55480000</v>
      </c>
      <c r="I16" s="113"/>
      <c r="J16" s="74" t="s">
        <v>124</v>
      </c>
    </row>
    <row r="17" spans="1:10" s="1" customFormat="1" ht="18" customHeight="1">
      <c r="A17" s="121" t="s">
        <v>2</v>
      </c>
      <c r="B17" s="3">
        <v>0</v>
      </c>
      <c r="C17" s="111"/>
      <c r="D17" s="3">
        <v>0</v>
      </c>
      <c r="E17" s="113"/>
      <c r="F17" s="3">
        <v>0</v>
      </c>
      <c r="G17" s="113"/>
      <c r="H17" s="3">
        <f>Details!B58*Details!B59*(Details!B61/Details!B62)</f>
        <v>140625000</v>
      </c>
      <c r="I17" s="113"/>
      <c r="J17" s="74" t="s">
        <v>137</v>
      </c>
    </row>
    <row r="18" spans="1:10" s="1" customFormat="1" ht="18" customHeight="1">
      <c r="A18" s="121" t="s">
        <v>60</v>
      </c>
      <c r="B18" s="3">
        <f>ROUND(Details!B19/Details!B10*Details!B7,0)</f>
        <v>4380000</v>
      </c>
      <c r="C18" s="111"/>
      <c r="D18" s="3">
        <f>ROUND(Details!B50/Details!B10*Details!B7,0)</f>
        <v>1095000</v>
      </c>
      <c r="E18" s="113"/>
      <c r="F18" s="3">
        <f>D18</f>
        <v>1095000</v>
      </c>
      <c r="G18" s="113"/>
      <c r="H18" s="3">
        <f>F18</f>
        <v>1095000</v>
      </c>
      <c r="I18" s="113"/>
      <c r="J18" s="74"/>
    </row>
    <row r="19" spans="1:10" s="1" customFormat="1" ht="18" customHeight="1">
      <c r="A19" s="121" t="s">
        <v>68</v>
      </c>
      <c r="B19" s="3">
        <f>Details!B85</f>
        <v>5500000</v>
      </c>
      <c r="C19" s="111"/>
      <c r="D19" s="3">
        <v>0</v>
      </c>
      <c r="E19" s="113"/>
      <c r="F19" s="3">
        <v>0</v>
      </c>
      <c r="G19" s="113"/>
      <c r="H19" s="3">
        <v>0</v>
      </c>
      <c r="I19" s="113"/>
      <c r="J19" s="74"/>
    </row>
    <row r="20" spans="1:10" s="1" customFormat="1" ht="18" customHeight="1">
      <c r="A20" s="121" t="s">
        <v>69</v>
      </c>
      <c r="B20" s="3">
        <v>0</v>
      </c>
      <c r="C20" s="111"/>
      <c r="D20" s="3">
        <v>0</v>
      </c>
      <c r="E20" s="113"/>
      <c r="F20" s="3">
        <f>Details!B56/Details!B57*Details!B7</f>
        <v>45990000</v>
      </c>
      <c r="G20" s="113"/>
      <c r="H20" s="3">
        <f>F20</f>
        <v>45990000</v>
      </c>
      <c r="I20" s="113"/>
      <c r="J20" s="74" t="s">
        <v>149</v>
      </c>
    </row>
    <row r="21" spans="1:10" s="1" customFormat="1" ht="18" customHeight="1">
      <c r="A21" s="121" t="s">
        <v>78</v>
      </c>
      <c r="B21" s="3">
        <f>Details!B14/100*Details!B34*Details!B9</f>
        <v>6387750.0000000056</v>
      </c>
      <c r="C21" s="111"/>
      <c r="D21" s="3">
        <f>Details!B14/100*Details!B66*Details!B9</f>
        <v>127755000</v>
      </c>
      <c r="E21" s="113"/>
      <c r="F21" s="3">
        <f>D21</f>
        <v>127755000</v>
      </c>
      <c r="G21" s="113"/>
      <c r="H21" s="3">
        <f>F21</f>
        <v>127755000</v>
      </c>
      <c r="I21" s="113"/>
      <c r="J21" s="74"/>
    </row>
    <row r="22" spans="1:10" s="1" customFormat="1" ht="18" customHeight="1">
      <c r="A22" s="121" t="s">
        <v>3</v>
      </c>
      <c r="B22" s="3">
        <f>Details!B14/100*Details!B35*Details!B9</f>
        <v>37261875.000000015</v>
      </c>
      <c r="C22" s="111"/>
      <c r="D22" s="3">
        <f>Details!B14/100*Details!B67*Details!B9</f>
        <v>425850000</v>
      </c>
      <c r="E22" s="113"/>
      <c r="F22" s="3">
        <f>D22</f>
        <v>425850000</v>
      </c>
      <c r="G22" s="113"/>
      <c r="H22" s="3">
        <f>F22</f>
        <v>425850000</v>
      </c>
      <c r="I22" s="113"/>
      <c r="J22" s="74" t="s">
        <v>150</v>
      </c>
    </row>
    <row r="23" spans="1:10" s="1" customFormat="1" ht="18" customHeight="1">
      <c r="A23" s="121" t="s">
        <v>77</v>
      </c>
      <c r="B23" s="3">
        <f>Details!B15/100*Details!B40*Details!B9</f>
        <v>17034000</v>
      </c>
      <c r="C23" s="111"/>
      <c r="D23" s="3">
        <f>Details!B15/100*Details!B72*Details!B9</f>
        <v>17034000</v>
      </c>
      <c r="E23" s="113"/>
      <c r="F23" s="3">
        <f>D23</f>
        <v>17034000</v>
      </c>
      <c r="G23" s="113"/>
      <c r="H23" s="3">
        <f>F23</f>
        <v>17034000</v>
      </c>
      <c r="I23" s="113"/>
      <c r="J23" s="61"/>
    </row>
    <row r="24" spans="1:10" s="1" customFormat="1" ht="18" customHeight="1">
      <c r="A24" s="121" t="s">
        <v>75</v>
      </c>
      <c r="B24" s="3">
        <f>Details!B15/100*Details!B41*Details!B9</f>
        <v>17034000</v>
      </c>
      <c r="C24" s="111"/>
      <c r="D24" s="3">
        <f>Details!B15/100*Details!B73*Details!B9</f>
        <v>51102000</v>
      </c>
      <c r="E24" s="113"/>
      <c r="F24" s="3">
        <f>D24</f>
        <v>51102000</v>
      </c>
      <c r="G24" s="113"/>
      <c r="H24" s="3">
        <f>F24</f>
        <v>51102000</v>
      </c>
      <c r="I24" s="113"/>
      <c r="J24" s="7"/>
    </row>
    <row r="25" spans="1:10" s="1" customFormat="1" ht="18" customHeight="1">
      <c r="A25" s="121" t="s">
        <v>76</v>
      </c>
      <c r="B25" s="3">
        <f>SUM(B16:B24)-B22-B24</f>
        <v>42061750.000000015</v>
      </c>
      <c r="C25" s="111"/>
      <c r="D25" s="3">
        <f>SUM(D16:D24)-D22-D24</f>
        <v>182384000</v>
      </c>
      <c r="E25" s="113"/>
      <c r="F25" s="3">
        <f>SUM(F16:F24)-F22-F24</f>
        <v>237864000</v>
      </c>
      <c r="G25" s="113"/>
      <c r="H25" s="3">
        <f>SUM(H16:H24)-H22-H24</f>
        <v>387979000</v>
      </c>
      <c r="I25" s="113"/>
      <c r="J25" s="7"/>
    </row>
    <row r="26" spans="1:10" s="1" customFormat="1" ht="18" customHeight="1">
      <c r="A26" s="121" t="s">
        <v>79</v>
      </c>
      <c r="B26" s="3">
        <f>B22+B24</f>
        <v>54295875.000000015</v>
      </c>
      <c r="C26" s="111"/>
      <c r="D26" s="3">
        <f>D22+D24</f>
        <v>476952000</v>
      </c>
      <c r="E26" s="113"/>
      <c r="F26" s="3">
        <f>F22+F24</f>
        <v>476952000</v>
      </c>
      <c r="G26" s="113"/>
      <c r="H26" s="3">
        <f>H22+H24</f>
        <v>476952000</v>
      </c>
      <c r="I26" s="113"/>
      <c r="J26" s="7"/>
    </row>
    <row r="27" spans="1:10" s="1" customFormat="1" ht="18" customHeight="1">
      <c r="A27" s="122" t="s">
        <v>80</v>
      </c>
      <c r="B27" s="4">
        <f>B25+B26</f>
        <v>96357625.00000003</v>
      </c>
      <c r="C27" s="112"/>
      <c r="D27" s="4">
        <f>D25+D26</f>
        <v>659336000</v>
      </c>
      <c r="E27" s="114"/>
      <c r="F27" s="4">
        <f>F25+F26</f>
        <v>714816000</v>
      </c>
      <c r="G27" s="114"/>
      <c r="H27" s="4">
        <f>H25+H26</f>
        <v>864931000</v>
      </c>
      <c r="I27" s="114"/>
      <c r="J27" s="40"/>
    </row>
    <row r="28" spans="1:10" s="1" customFormat="1" ht="9" customHeight="1">
      <c r="A28" s="168"/>
      <c r="B28" s="168"/>
      <c r="C28" s="168"/>
      <c r="D28" s="168"/>
      <c r="E28" s="168"/>
      <c r="F28" s="168"/>
      <c r="G28" s="168"/>
      <c r="H28" s="168"/>
      <c r="I28" s="168"/>
      <c r="J28" s="168"/>
    </row>
    <row r="29" spans="1:10" s="1" customFormat="1" ht="18" customHeight="1">
      <c r="A29" s="123" t="s">
        <v>35</v>
      </c>
      <c r="B29" s="37" t="s">
        <v>0</v>
      </c>
      <c r="C29" s="106" t="s">
        <v>169</v>
      </c>
      <c r="D29" s="37" t="s">
        <v>122</v>
      </c>
      <c r="E29" s="106" t="s">
        <v>169</v>
      </c>
      <c r="F29" s="37" t="s">
        <v>88</v>
      </c>
      <c r="G29" s="106" t="s">
        <v>169</v>
      </c>
      <c r="H29" s="37" t="s">
        <v>123</v>
      </c>
      <c r="I29" s="106" t="s">
        <v>169</v>
      </c>
      <c r="J29" s="10" t="s">
        <v>1</v>
      </c>
    </row>
    <row r="30" spans="1:10" s="1" customFormat="1" ht="18" customHeight="1">
      <c r="A30" s="124" t="s">
        <v>55</v>
      </c>
      <c r="B30" s="5">
        <f>B16/Details!$B$7</f>
        <v>5.7142857142857144</v>
      </c>
      <c r="C30" s="107">
        <f t="shared" ref="C30:C41" si="4">B30/B$41</f>
        <v>9.0911331614908511E-2</v>
      </c>
      <c r="D30" s="5">
        <f>D16/Details!$B$7</f>
        <v>23.80952380952381</v>
      </c>
      <c r="E30" s="107">
        <f t="shared" ref="E30:E41" si="5">D30/D$41</f>
        <v>5.5358724534986706E-2</v>
      </c>
      <c r="F30" s="5">
        <f>F16/Details!$B$7</f>
        <v>30</v>
      </c>
      <c r="G30" s="107">
        <f t="shared" ref="G30:G41" si="6">F30/F$41</f>
        <v>6.4338235294117641E-2</v>
      </c>
      <c r="H30" s="5">
        <f>H16/Details!$B$7</f>
        <v>36.19047619047619</v>
      </c>
      <c r="I30" s="107">
        <f t="shared" ref="I30:I41" si="7">H30/H$41</f>
        <v>6.4143845000352626E-2</v>
      </c>
      <c r="J30" s="41"/>
    </row>
    <row r="31" spans="1:10" s="1" customFormat="1" ht="18" customHeight="1">
      <c r="A31" s="124" t="s">
        <v>2</v>
      </c>
      <c r="B31" s="5">
        <f>B17/Details!$B$7</f>
        <v>0</v>
      </c>
      <c r="C31" s="107">
        <f t="shared" si="4"/>
        <v>0</v>
      </c>
      <c r="D31" s="5">
        <f>D17/Details!$B$7</f>
        <v>0</v>
      </c>
      <c r="E31" s="107">
        <f t="shared" si="5"/>
        <v>0</v>
      </c>
      <c r="F31" s="5">
        <f>F17/Details!$B$7</f>
        <v>0</v>
      </c>
      <c r="G31" s="107">
        <f t="shared" si="6"/>
        <v>0</v>
      </c>
      <c r="H31" s="5">
        <f>H17/Details!$B$7</f>
        <v>91.731898238747547</v>
      </c>
      <c r="I31" s="107">
        <f t="shared" si="7"/>
        <v>0.16258522356118579</v>
      </c>
      <c r="J31" s="41"/>
    </row>
    <row r="32" spans="1:10" s="1" customFormat="1" ht="18" customHeight="1">
      <c r="A32" s="124" t="s">
        <v>67</v>
      </c>
      <c r="B32" s="5">
        <f>B18/Details!$B$7</f>
        <v>2.8571428571428572</v>
      </c>
      <c r="C32" s="107">
        <f t="shared" si="4"/>
        <v>4.5455665807454256E-2</v>
      </c>
      <c r="D32" s="5">
        <f>D18/Details!$B$7</f>
        <v>0.7142857142857143</v>
      </c>
      <c r="E32" s="107">
        <f t="shared" si="5"/>
        <v>1.660761736049601E-3</v>
      </c>
      <c r="F32" s="5">
        <f>F18/Details!$B$7</f>
        <v>0.7142857142857143</v>
      </c>
      <c r="G32" s="107">
        <f t="shared" si="6"/>
        <v>1.5318627450980392E-3</v>
      </c>
      <c r="H32" s="5">
        <f>H18/Details!$B$7</f>
        <v>0.7142857142857143</v>
      </c>
      <c r="I32" s="107">
        <f t="shared" si="7"/>
        <v>1.2659969407964335E-3</v>
      </c>
      <c r="J32" s="41"/>
    </row>
    <row r="33" spans="1:10" s="1" customFormat="1" ht="18" customHeight="1">
      <c r="A33" s="124" t="s">
        <v>68</v>
      </c>
      <c r="B33" s="5">
        <f>B19/Details!$B$7</f>
        <v>3.5877364644487932</v>
      </c>
      <c r="C33" s="107">
        <f t="shared" si="4"/>
        <v>5.7079032406620635E-2</v>
      </c>
      <c r="D33" s="5">
        <f>D19/Details!$B$7</f>
        <v>0</v>
      </c>
      <c r="E33" s="107">
        <f t="shared" si="5"/>
        <v>0</v>
      </c>
      <c r="F33" s="5">
        <f>F19/Details!$B$7</f>
        <v>0</v>
      </c>
      <c r="G33" s="107">
        <f t="shared" si="6"/>
        <v>0</v>
      </c>
      <c r="H33" s="5">
        <f>H19/Details!$B$7</f>
        <v>0</v>
      </c>
      <c r="I33" s="107">
        <f t="shared" si="7"/>
        <v>0</v>
      </c>
      <c r="J33" s="41"/>
    </row>
    <row r="34" spans="1:10" s="1" customFormat="1" ht="18" customHeight="1">
      <c r="A34" s="124" t="s">
        <v>70</v>
      </c>
      <c r="B34" s="5">
        <f>B20/Details!$B$7</f>
        <v>0</v>
      </c>
      <c r="C34" s="107">
        <f t="shared" si="4"/>
        <v>0</v>
      </c>
      <c r="D34" s="5">
        <f>D20/Details!$B$7</f>
        <v>0</v>
      </c>
      <c r="E34" s="107">
        <f t="shared" si="5"/>
        <v>0</v>
      </c>
      <c r="F34" s="5">
        <f>F20/Details!$B$7</f>
        <v>30</v>
      </c>
      <c r="G34" s="107">
        <f t="shared" si="6"/>
        <v>6.4338235294117641E-2</v>
      </c>
      <c r="H34" s="5">
        <f>H20/Details!$B$7</f>
        <v>30</v>
      </c>
      <c r="I34" s="107">
        <f t="shared" si="7"/>
        <v>5.3171871513450202E-2</v>
      </c>
      <c r="J34" s="41"/>
    </row>
    <row r="35" spans="1:10" s="1" customFormat="1" ht="18" customHeight="1">
      <c r="A35" s="124" t="s">
        <v>78</v>
      </c>
      <c r="B35" s="5">
        <f>B21/Details!$B$7</f>
        <v>4.1668297455968721</v>
      </c>
      <c r="C35" s="107">
        <f t="shared" si="4"/>
        <v>6.6292107137343861E-2</v>
      </c>
      <c r="D35" s="5">
        <f>D21/Details!$B$7</f>
        <v>83.336594911937382</v>
      </c>
      <c r="E35" s="107">
        <f t="shared" si="5"/>
        <v>0.19376311925937606</v>
      </c>
      <c r="F35" s="5">
        <f>F21/Details!$B$7</f>
        <v>83.336594911937382</v>
      </c>
      <c r="G35" s="107">
        <f t="shared" si="6"/>
        <v>0.17872431506849315</v>
      </c>
      <c r="H35" s="5">
        <f>H21/Details!$B$7</f>
        <v>83.336594911937382</v>
      </c>
      <c r="I35" s="107">
        <f t="shared" si="7"/>
        <v>0.14770542390086608</v>
      </c>
      <c r="J35" s="41"/>
    </row>
    <row r="36" spans="1:10" s="1" customFormat="1" ht="18" customHeight="1">
      <c r="A36" s="124" t="s">
        <v>3</v>
      </c>
      <c r="B36" s="5">
        <f>B22/Details!$B$7</f>
        <v>24.306506849315078</v>
      </c>
      <c r="C36" s="107">
        <f t="shared" si="4"/>
        <v>0.38670395830117238</v>
      </c>
      <c r="D36" s="5">
        <f>D22/Details!$B$7</f>
        <v>277.78864970645793</v>
      </c>
      <c r="E36" s="107">
        <f t="shared" si="5"/>
        <v>0.64587706419792024</v>
      </c>
      <c r="F36" s="5">
        <f>F22/Details!$B$7</f>
        <v>277.78864970645793</v>
      </c>
      <c r="G36" s="107">
        <f t="shared" si="6"/>
        <v>0.59574771689497708</v>
      </c>
      <c r="H36" s="5">
        <f>H22/Details!$B$7</f>
        <v>277.78864970645793</v>
      </c>
      <c r="I36" s="107">
        <f t="shared" si="7"/>
        <v>0.49235141300288693</v>
      </c>
      <c r="J36" s="41"/>
    </row>
    <row r="37" spans="1:10" s="1" customFormat="1" ht="18" customHeight="1">
      <c r="A37" s="124" t="s">
        <v>77</v>
      </c>
      <c r="B37" s="5">
        <f>B23/Details!$B$7</f>
        <v>11.111545988258317</v>
      </c>
      <c r="C37" s="107">
        <f t="shared" si="4"/>
        <v>0.17677895236625019</v>
      </c>
      <c r="D37" s="5">
        <f>D23/Details!$B$7</f>
        <v>11.111545988258317</v>
      </c>
      <c r="E37" s="107">
        <f t="shared" si="5"/>
        <v>2.583508256791681E-2</v>
      </c>
      <c r="F37" s="5">
        <f>F23/Details!$B$7</f>
        <v>11.111545988258317</v>
      </c>
      <c r="G37" s="107">
        <f t="shared" si="6"/>
        <v>2.3829908675799084E-2</v>
      </c>
      <c r="H37" s="5">
        <f>H23/Details!$B$7</f>
        <v>11.111545988258317</v>
      </c>
      <c r="I37" s="107">
        <f t="shared" si="7"/>
        <v>1.9694056520115476E-2</v>
      </c>
      <c r="J37" s="41"/>
    </row>
    <row r="38" spans="1:10" s="1" customFormat="1" ht="18" customHeight="1">
      <c r="A38" s="124" t="s">
        <v>75</v>
      </c>
      <c r="B38" s="5">
        <f>B24/Details!$B$7</f>
        <v>11.111545988258317</v>
      </c>
      <c r="C38" s="107">
        <f t="shared" si="4"/>
        <v>0.17677895236625019</v>
      </c>
      <c r="D38" s="5">
        <f>D24/Details!$B$7</f>
        <v>33.334637964774949</v>
      </c>
      <c r="E38" s="107">
        <f t="shared" si="5"/>
        <v>7.7505247703750418E-2</v>
      </c>
      <c r="F38" s="5">
        <f>F24/Details!$B$7</f>
        <v>33.334637964774949</v>
      </c>
      <c r="G38" s="107">
        <f t="shared" si="6"/>
        <v>7.1489726027397255E-2</v>
      </c>
      <c r="H38" s="5">
        <f>H24/Details!$B$7</f>
        <v>33.334637964774949</v>
      </c>
      <c r="I38" s="107">
        <f t="shared" si="7"/>
        <v>5.9082169560346426E-2</v>
      </c>
      <c r="J38" s="41"/>
    </row>
    <row r="39" spans="1:10" s="1" customFormat="1" ht="18" customHeight="1">
      <c r="A39" s="124" t="s">
        <v>76</v>
      </c>
      <c r="B39" s="5">
        <f>SUM(B30:B38)-B36-B38</f>
        <v>27.437540769732554</v>
      </c>
      <c r="C39" s="107">
        <f t="shared" si="4"/>
        <v>0.43651708933257743</v>
      </c>
      <c r="D39" s="5">
        <f>SUM(D30:D38)-D36-D38</f>
        <v>118.97195042400526</v>
      </c>
      <c r="E39" s="107">
        <f t="shared" si="5"/>
        <v>0.27661768809832926</v>
      </c>
      <c r="F39" s="5">
        <f>SUM(F30:F38)-F36-F38</f>
        <v>155.16242661448146</v>
      </c>
      <c r="G39" s="107">
        <f t="shared" si="6"/>
        <v>0.33276255707762564</v>
      </c>
      <c r="H39" s="5">
        <f>SUM(H30:H38)-H36-H38</f>
        <v>253.0848010437052</v>
      </c>
      <c r="I39" s="107">
        <f t="shared" si="7"/>
        <v>0.44856641743676667</v>
      </c>
      <c r="J39" s="41"/>
    </row>
    <row r="40" spans="1:10" s="1" customFormat="1" ht="18" customHeight="1">
      <c r="A40" s="124" t="s">
        <v>79</v>
      </c>
      <c r="B40" s="5">
        <f>B36+B38</f>
        <v>35.418052837573399</v>
      </c>
      <c r="C40" s="107">
        <f t="shared" si="4"/>
        <v>0.56348291066742262</v>
      </c>
      <c r="D40" s="5">
        <f>D36+D38</f>
        <v>311.1232876712329</v>
      </c>
      <c r="E40" s="107">
        <f t="shared" si="5"/>
        <v>0.72338231190167068</v>
      </c>
      <c r="F40" s="5">
        <f>F36+F38</f>
        <v>311.1232876712329</v>
      </c>
      <c r="G40" s="107">
        <f t="shared" si="6"/>
        <v>0.66723744292237441</v>
      </c>
      <c r="H40" s="5">
        <f>H36+H38</f>
        <v>311.1232876712329</v>
      </c>
      <c r="I40" s="107">
        <f t="shared" si="7"/>
        <v>0.55143358256323338</v>
      </c>
      <c r="J40" s="41"/>
    </row>
    <row r="41" spans="1:10" s="1" customFormat="1" ht="18" customHeight="1">
      <c r="A41" s="125" t="s">
        <v>80</v>
      </c>
      <c r="B41" s="6">
        <f>B39+B40</f>
        <v>62.855593607305948</v>
      </c>
      <c r="C41" s="108">
        <f t="shared" si="4"/>
        <v>1</v>
      </c>
      <c r="D41" s="6">
        <f>D39+D40</f>
        <v>430.09523809523819</v>
      </c>
      <c r="E41" s="108">
        <f t="shared" si="5"/>
        <v>1</v>
      </c>
      <c r="F41" s="6">
        <f>F39+F40</f>
        <v>466.28571428571433</v>
      </c>
      <c r="G41" s="108">
        <f t="shared" si="6"/>
        <v>1</v>
      </c>
      <c r="H41" s="6">
        <f>H39+H40</f>
        <v>564.20808871493807</v>
      </c>
      <c r="I41" s="108">
        <f t="shared" si="7"/>
        <v>1</v>
      </c>
      <c r="J41" s="42"/>
    </row>
    <row r="43" spans="1:10">
      <c r="A43" s="2" t="s">
        <v>87</v>
      </c>
    </row>
    <row r="44" spans="1:10">
      <c r="A44" s="75" t="s">
        <v>167</v>
      </c>
    </row>
    <row r="45" spans="1:10">
      <c r="A45" s="75" t="s">
        <v>166</v>
      </c>
    </row>
    <row r="46" spans="1:10">
      <c r="A46" s="75" t="s">
        <v>165</v>
      </c>
    </row>
    <row r="47" spans="1:10">
      <c r="A47" s="167" t="s">
        <v>164</v>
      </c>
      <c r="B47" s="167"/>
      <c r="C47" s="167"/>
      <c r="D47" s="167"/>
      <c r="E47" s="167"/>
      <c r="F47" s="167"/>
      <c r="G47" s="167"/>
      <c r="H47" s="167"/>
      <c r="I47" s="167"/>
      <c r="J47" s="167"/>
    </row>
    <row r="48" spans="1:10">
      <c r="A48" s="167" t="s">
        <v>163</v>
      </c>
      <c r="B48" s="167"/>
      <c r="C48" s="167"/>
      <c r="D48" s="167"/>
      <c r="E48" s="167"/>
      <c r="F48" s="167"/>
      <c r="G48" s="167"/>
      <c r="H48" s="167"/>
      <c r="I48" s="167"/>
      <c r="J48" s="167"/>
    </row>
    <row r="49" spans="1:1">
      <c r="A49" s="56" t="s">
        <v>168</v>
      </c>
    </row>
  </sheetData>
  <customSheetViews>
    <customSheetView guid="{6F527328-663B-4944-BE31-FA39F89D0BB8}" scale="60" showPageBreaks="1" view="pageBreakPreview">
      <selection activeCell="I37" sqref="I37"/>
      <pageMargins left="0.7" right="0.7" top="0.78740157499999996" bottom="0.78740157499999996" header="0.3" footer="0.3"/>
      <pageSetup paperSize="9" scale="68" orientation="portrait" horizontalDpi="1200" verticalDpi="1200" r:id="rId1"/>
    </customSheetView>
  </customSheetViews>
  <mergeCells count="7">
    <mergeCell ref="A1:J1"/>
    <mergeCell ref="A47:J47"/>
    <mergeCell ref="A48:J48"/>
    <mergeCell ref="A28:J28"/>
    <mergeCell ref="A14:J14"/>
    <mergeCell ref="A11:J11"/>
    <mergeCell ref="A2:J2"/>
  </mergeCells>
  <pageMargins left="0.70866141732283472" right="0.70866141732283472" top="0.78740157480314965" bottom="0.78740157480314965" header="0.31496062992125984" footer="0.31496062992125984"/>
  <pageSetup paperSize="9" scale="62" orientation="landscape" horizontalDpi="1200" verticalDpi="1200" r:id="rId2"/>
</worksheet>
</file>

<file path=xl/worksheets/sheet3.xml><?xml version="1.0" encoding="utf-8"?>
<worksheet xmlns="http://schemas.openxmlformats.org/spreadsheetml/2006/main" xmlns:r="http://schemas.openxmlformats.org/officeDocument/2006/relationships">
  <sheetPr>
    <pageSetUpPr fitToPage="1"/>
  </sheetPr>
  <dimension ref="A1:C85"/>
  <sheetViews>
    <sheetView zoomScale="90" zoomScaleNormal="90" zoomScalePageLayoutView="20" workbookViewId="0">
      <selection sqref="A1:C1"/>
    </sheetView>
  </sheetViews>
  <sheetFormatPr baseColWidth="10" defaultRowHeight="15"/>
  <cols>
    <col min="1" max="1" width="61.28515625" bestFit="1" customWidth="1"/>
    <col min="2" max="2" width="12.85546875" bestFit="1" customWidth="1"/>
    <col min="3" max="3" width="92.7109375" customWidth="1"/>
  </cols>
  <sheetData>
    <row r="1" spans="1:3" ht="22.5" customHeight="1">
      <c r="A1" s="126" t="s">
        <v>102</v>
      </c>
      <c r="B1" s="126"/>
      <c r="C1" s="126"/>
    </row>
    <row r="2" spans="1:3" ht="6" customHeight="1">
      <c r="A2" s="170"/>
      <c r="B2" s="170"/>
      <c r="C2" s="170"/>
    </row>
    <row r="3" spans="1:3" s="1" customFormat="1">
      <c r="A3" s="77" t="s">
        <v>7</v>
      </c>
      <c r="B3" s="78"/>
      <c r="C3" s="79" t="s">
        <v>44</v>
      </c>
    </row>
    <row r="4" spans="1:3" s="1" customFormat="1" ht="18" customHeight="1">
      <c r="A4" s="80" t="s">
        <v>11</v>
      </c>
      <c r="B4" s="65">
        <v>1033000</v>
      </c>
      <c r="C4" s="81" t="s">
        <v>30</v>
      </c>
    </row>
    <row r="5" spans="1:3" s="1" customFormat="1" ht="18" customHeight="1">
      <c r="A5" s="80" t="s">
        <v>12</v>
      </c>
      <c r="B5" s="65">
        <v>350000</v>
      </c>
      <c r="C5" s="81" t="s">
        <v>89</v>
      </c>
    </row>
    <row r="6" spans="1:3" s="1" customFormat="1" ht="18" customHeight="1">
      <c r="A6" s="82" t="s">
        <v>13</v>
      </c>
      <c r="B6" s="65">
        <v>150000</v>
      </c>
      <c r="C6" s="81" t="s">
        <v>108</v>
      </c>
    </row>
    <row r="7" spans="1:3" s="1" customFormat="1" ht="18" customHeight="1">
      <c r="A7" s="80" t="s">
        <v>14</v>
      </c>
      <c r="B7" s="16">
        <f>SUM(B4:B6)</f>
        <v>1533000</v>
      </c>
      <c r="C7" s="81" t="s">
        <v>95</v>
      </c>
    </row>
    <row r="8" spans="1:3" s="1" customFormat="1">
      <c r="A8" s="80" t="s">
        <v>4</v>
      </c>
      <c r="B8" s="66">
        <v>1.8</v>
      </c>
      <c r="C8" s="81" t="s">
        <v>155</v>
      </c>
    </row>
    <row r="9" spans="1:3" s="1" customFormat="1" ht="18" customHeight="1">
      <c r="A9" s="80" t="s">
        <v>15</v>
      </c>
      <c r="B9" s="16">
        <f>ROUND(B7/B8,-2)</f>
        <v>851700</v>
      </c>
      <c r="C9" s="81" t="s">
        <v>31</v>
      </c>
    </row>
    <row r="10" spans="1:3" s="1" customFormat="1" ht="18" customHeight="1">
      <c r="A10" s="80" t="s">
        <v>34</v>
      </c>
      <c r="B10" s="65">
        <v>7</v>
      </c>
      <c r="C10" s="81" t="s">
        <v>96</v>
      </c>
    </row>
    <row r="11" spans="1:3" s="1" customFormat="1" ht="18" customHeight="1">
      <c r="A11" s="80" t="s">
        <v>10</v>
      </c>
      <c r="B11" s="67">
        <v>50</v>
      </c>
      <c r="C11" s="81" t="s">
        <v>103</v>
      </c>
    </row>
    <row r="12" spans="1:3" s="1" customFormat="1" ht="18" customHeight="1">
      <c r="A12" s="80" t="s">
        <v>91</v>
      </c>
      <c r="B12" s="67">
        <v>50</v>
      </c>
      <c r="C12" s="81" t="s">
        <v>104</v>
      </c>
    </row>
    <row r="13" spans="1:3" s="1" customFormat="1" ht="18" customHeight="1">
      <c r="A13" s="80" t="s">
        <v>171</v>
      </c>
      <c r="B13" s="65">
        <v>1600</v>
      </c>
      <c r="C13" s="81"/>
    </row>
    <row r="14" spans="1:3" s="1" customFormat="1" ht="18" customHeight="1">
      <c r="A14" s="80" t="s">
        <v>20</v>
      </c>
      <c r="B14" s="68">
        <v>100</v>
      </c>
      <c r="C14" s="81" t="s">
        <v>82</v>
      </c>
    </row>
    <row r="15" spans="1:3" s="1" customFormat="1" ht="32.25" customHeight="1">
      <c r="A15" s="83" t="s">
        <v>21</v>
      </c>
      <c r="B15" s="84">
        <v>5</v>
      </c>
      <c r="C15" s="85" t="s">
        <v>109</v>
      </c>
    </row>
    <row r="16" spans="1:3" s="1" customFormat="1" ht="6.75" customHeight="1">
      <c r="A16" s="171"/>
      <c r="B16" s="171"/>
      <c r="C16" s="171"/>
    </row>
    <row r="17" spans="1:3" s="1" customFormat="1">
      <c r="A17" s="86" t="s">
        <v>0</v>
      </c>
      <c r="B17" s="87"/>
      <c r="C17" s="88" t="s">
        <v>44</v>
      </c>
    </row>
    <row r="18" spans="1:3" s="1" customFormat="1" ht="30">
      <c r="A18" s="89" t="s">
        <v>9</v>
      </c>
      <c r="B18" s="67">
        <v>40</v>
      </c>
      <c r="C18" s="90" t="s">
        <v>174</v>
      </c>
    </row>
    <row r="19" spans="1:3" s="1" customFormat="1" ht="17.25" customHeight="1">
      <c r="A19" s="89" t="s">
        <v>61</v>
      </c>
      <c r="B19" s="67">
        <v>20</v>
      </c>
      <c r="C19" s="90" t="s">
        <v>97</v>
      </c>
    </row>
    <row r="20" spans="1:3" s="1" customFormat="1" ht="17.25" customHeight="1">
      <c r="A20" s="89" t="s">
        <v>140</v>
      </c>
      <c r="B20" s="69">
        <v>0.25</v>
      </c>
      <c r="C20" s="90" t="s">
        <v>161</v>
      </c>
    </row>
    <row r="21" spans="1:3" s="1" customFormat="1" ht="17.25" customHeight="1">
      <c r="A21" s="89" t="s">
        <v>139</v>
      </c>
      <c r="B21" s="69">
        <v>0.5</v>
      </c>
      <c r="C21" s="90" t="s">
        <v>161</v>
      </c>
    </row>
    <row r="22" spans="1:3" s="1" customFormat="1" ht="17.25" customHeight="1">
      <c r="A22" s="89" t="s">
        <v>141</v>
      </c>
      <c r="B22" s="53">
        <f>1-B21-B20</f>
        <v>0.25</v>
      </c>
      <c r="C22" s="90"/>
    </row>
    <row r="23" spans="1:3" s="1" customFormat="1" ht="17.25" customHeight="1">
      <c r="A23" s="89" t="s">
        <v>142</v>
      </c>
      <c r="B23" s="70">
        <v>300</v>
      </c>
      <c r="C23" s="90" t="s">
        <v>161</v>
      </c>
    </row>
    <row r="24" spans="1:3" s="1" customFormat="1" ht="17.25" customHeight="1">
      <c r="A24" s="89" t="s">
        <v>143</v>
      </c>
      <c r="B24" s="70">
        <v>600</v>
      </c>
      <c r="C24" s="90" t="s">
        <v>161</v>
      </c>
    </row>
    <row r="25" spans="1:3" s="1" customFormat="1" ht="17.25" customHeight="1">
      <c r="A25" s="89" t="s">
        <v>5</v>
      </c>
      <c r="B25" s="69">
        <v>0.95</v>
      </c>
      <c r="C25" s="90" t="s">
        <v>16</v>
      </c>
    </row>
    <row r="26" spans="1:3" s="1" customFormat="1" ht="17.25" customHeight="1">
      <c r="A26" s="89" t="s">
        <v>6</v>
      </c>
      <c r="B26" s="17">
        <f>1-B25</f>
        <v>5.0000000000000044E-2</v>
      </c>
      <c r="C26" s="90" t="s">
        <v>17</v>
      </c>
    </row>
    <row r="27" spans="1:3" s="1" customFormat="1" ht="17.25" customHeight="1">
      <c r="A27" s="89" t="s">
        <v>47</v>
      </c>
      <c r="B27" s="68">
        <v>0</v>
      </c>
      <c r="C27" s="90" t="s">
        <v>18</v>
      </c>
    </row>
    <row r="28" spans="1:3" s="1" customFormat="1" ht="17.25" customHeight="1">
      <c r="A28" s="89" t="s">
        <v>48</v>
      </c>
      <c r="B28" s="68">
        <v>3</v>
      </c>
      <c r="C28" s="90" t="s">
        <v>110</v>
      </c>
    </row>
    <row r="29" spans="1:3" s="1" customFormat="1" ht="17.25" customHeight="1">
      <c r="A29" s="89" t="s">
        <v>49</v>
      </c>
      <c r="B29" s="18">
        <f>B27*B25+B28*B26</f>
        <v>0.15000000000000013</v>
      </c>
      <c r="C29" s="90" t="s">
        <v>111</v>
      </c>
    </row>
    <row r="30" spans="1:3" s="1" customFormat="1" ht="17.25" customHeight="1">
      <c r="A30" s="89" t="s">
        <v>50</v>
      </c>
      <c r="B30" s="68">
        <v>0.5</v>
      </c>
      <c r="C30" s="90" t="s">
        <v>112</v>
      </c>
    </row>
    <row r="31" spans="1:3" s="1" customFormat="1" ht="17.25" customHeight="1">
      <c r="A31" s="89" t="s">
        <v>51</v>
      </c>
      <c r="B31" s="68">
        <v>8</v>
      </c>
      <c r="C31" s="90" t="s">
        <v>113</v>
      </c>
    </row>
    <row r="32" spans="1:3" s="1" customFormat="1" ht="17.25" customHeight="1">
      <c r="A32" s="89" t="s">
        <v>52</v>
      </c>
      <c r="B32" s="18">
        <f>B30*B25+B31*B26</f>
        <v>0.87500000000000033</v>
      </c>
      <c r="C32" s="90" t="s">
        <v>111</v>
      </c>
    </row>
    <row r="33" spans="1:3" s="1" customFormat="1" ht="17.25" customHeight="1">
      <c r="A33" s="89" t="s">
        <v>138</v>
      </c>
      <c r="B33" s="109">
        <f>ROUND(Details!B14/100*Details!B9*B32/B13,0)</f>
        <v>466</v>
      </c>
      <c r="C33" s="90" t="s">
        <v>172</v>
      </c>
    </row>
    <row r="34" spans="1:3" s="1" customFormat="1" ht="17.25" customHeight="1">
      <c r="A34" s="89" t="s">
        <v>37</v>
      </c>
      <c r="B34" s="19">
        <f>B29*B11</f>
        <v>7.5000000000000071</v>
      </c>
      <c r="C34" s="90"/>
    </row>
    <row r="35" spans="1:3" s="1" customFormat="1" ht="17.25" customHeight="1">
      <c r="A35" s="89" t="s">
        <v>36</v>
      </c>
      <c r="B35" s="19">
        <f>B32*B12</f>
        <v>43.750000000000014</v>
      </c>
      <c r="C35" s="90"/>
    </row>
    <row r="36" spans="1:3" s="1" customFormat="1" ht="17.25" customHeight="1">
      <c r="A36" s="89" t="s">
        <v>38</v>
      </c>
      <c r="B36" s="19">
        <f>B34+B35</f>
        <v>51.250000000000021</v>
      </c>
      <c r="C36" s="90"/>
    </row>
    <row r="37" spans="1:3" s="1" customFormat="1" ht="17.25" customHeight="1">
      <c r="A37" s="89" t="s">
        <v>39</v>
      </c>
      <c r="B37" s="19">
        <f>B36/B8</f>
        <v>28.472222222222232</v>
      </c>
      <c r="C37" s="90"/>
    </row>
    <row r="38" spans="1:3" s="1" customFormat="1" ht="17.25" customHeight="1">
      <c r="A38" s="89" t="s">
        <v>53</v>
      </c>
      <c r="B38" s="68">
        <v>8</v>
      </c>
      <c r="C38" s="90" t="s">
        <v>114</v>
      </c>
    </row>
    <row r="39" spans="1:3" s="1" customFormat="1" ht="17.25" customHeight="1">
      <c r="A39" s="89" t="s">
        <v>54</v>
      </c>
      <c r="B39" s="68">
        <v>8</v>
      </c>
      <c r="C39" s="90" t="s">
        <v>115</v>
      </c>
    </row>
    <row r="40" spans="1:3" s="1" customFormat="1" ht="17.25" customHeight="1">
      <c r="A40" s="89" t="s">
        <v>40</v>
      </c>
      <c r="B40" s="19">
        <f>B38*B11</f>
        <v>400</v>
      </c>
      <c r="C40" s="90"/>
    </row>
    <row r="41" spans="1:3" s="1" customFormat="1" ht="17.25" customHeight="1">
      <c r="A41" s="89" t="s">
        <v>41</v>
      </c>
      <c r="B41" s="19">
        <f>B39*B12</f>
        <v>400</v>
      </c>
      <c r="C41" s="90"/>
    </row>
    <row r="42" spans="1:3" s="1" customFormat="1" ht="17.25" customHeight="1">
      <c r="A42" s="89" t="s">
        <v>43</v>
      </c>
      <c r="B42" s="19">
        <f>B40+B41</f>
        <v>800</v>
      </c>
      <c r="C42" s="90"/>
    </row>
    <row r="43" spans="1:3" s="1" customFormat="1" ht="17.25" customHeight="1">
      <c r="A43" s="91" t="s">
        <v>42</v>
      </c>
      <c r="B43" s="92">
        <f>B42/B8</f>
        <v>444.44444444444446</v>
      </c>
      <c r="C43" s="93"/>
    </row>
    <row r="44" spans="1:3" s="76" customFormat="1" ht="8.25" customHeight="1">
      <c r="A44" s="171"/>
      <c r="B44" s="171"/>
      <c r="C44" s="171"/>
    </row>
    <row r="45" spans="1:3" s="1" customFormat="1">
      <c r="A45" s="94" t="s">
        <v>8</v>
      </c>
      <c r="B45" s="95"/>
      <c r="C45" s="96" t="s">
        <v>44</v>
      </c>
    </row>
    <row r="46" spans="1:3" s="1" customFormat="1" ht="18" customHeight="1">
      <c r="A46" s="97" t="s">
        <v>57</v>
      </c>
      <c r="B46" s="67">
        <v>250</v>
      </c>
      <c r="C46" s="98" t="s">
        <v>81</v>
      </c>
    </row>
    <row r="47" spans="1:3" s="1" customFormat="1" ht="18" customHeight="1">
      <c r="A47" s="97" t="s">
        <v>58</v>
      </c>
      <c r="B47" s="67">
        <v>380</v>
      </c>
      <c r="C47" s="98" t="s">
        <v>92</v>
      </c>
    </row>
    <row r="48" spans="1:3" s="1" customFormat="1" ht="18" customHeight="1">
      <c r="A48" s="97" t="s">
        <v>56</v>
      </c>
      <c r="B48" s="8">
        <f>(B46+B47)/2</f>
        <v>315</v>
      </c>
      <c r="C48" s="98"/>
    </row>
    <row r="49" spans="1:3" s="1" customFormat="1" ht="18" customHeight="1">
      <c r="A49" s="97" t="s">
        <v>32</v>
      </c>
      <c r="B49" s="68">
        <v>1.5</v>
      </c>
      <c r="C49" s="98" t="s">
        <v>33</v>
      </c>
    </row>
    <row r="50" spans="1:3" s="1" customFormat="1" ht="30">
      <c r="A50" s="97" t="s">
        <v>61</v>
      </c>
      <c r="B50" s="67">
        <v>5</v>
      </c>
      <c r="C50" s="98" t="s">
        <v>93</v>
      </c>
    </row>
    <row r="51" spans="1:3" s="1" customFormat="1" ht="18" customHeight="1">
      <c r="A51" s="97" t="s">
        <v>140</v>
      </c>
      <c r="B51" s="69">
        <v>0.25</v>
      </c>
      <c r="C51" s="98" t="s">
        <v>162</v>
      </c>
    </row>
    <row r="52" spans="1:3" s="1" customFormat="1" ht="18" customHeight="1">
      <c r="A52" s="97" t="s">
        <v>139</v>
      </c>
      <c r="B52" s="69">
        <v>0.5</v>
      </c>
      <c r="C52" s="98" t="s">
        <v>162</v>
      </c>
    </row>
    <row r="53" spans="1:3" s="1" customFormat="1" ht="18" customHeight="1">
      <c r="A53" s="97" t="s">
        <v>141</v>
      </c>
      <c r="B53" s="57">
        <f>1-B52-B51</f>
        <v>0.25</v>
      </c>
      <c r="C53" s="98"/>
    </row>
    <row r="54" spans="1:3" s="1" customFormat="1" ht="18" customHeight="1">
      <c r="A54" s="97" t="s">
        <v>154</v>
      </c>
      <c r="B54" s="70">
        <v>300</v>
      </c>
      <c r="C54" s="98" t="s">
        <v>162</v>
      </c>
    </row>
    <row r="55" spans="1:3" s="1" customFormat="1" ht="18" customHeight="1">
      <c r="A55" s="97" t="s">
        <v>143</v>
      </c>
      <c r="B55" s="70">
        <v>600</v>
      </c>
      <c r="C55" s="98" t="s">
        <v>162</v>
      </c>
    </row>
    <row r="56" spans="1:3" s="1" customFormat="1" ht="18" customHeight="1">
      <c r="A56" s="97" t="s">
        <v>83</v>
      </c>
      <c r="B56" s="67">
        <v>120</v>
      </c>
      <c r="C56" s="98" t="s">
        <v>94</v>
      </c>
    </row>
    <row r="57" spans="1:3" s="1" customFormat="1" ht="18" customHeight="1">
      <c r="A57" s="97" t="s">
        <v>84</v>
      </c>
      <c r="B57" s="68">
        <v>4</v>
      </c>
      <c r="C57" s="98"/>
    </row>
    <row r="58" spans="1:3" s="1" customFormat="1" ht="18" customHeight="1">
      <c r="A58" s="97" t="s">
        <v>63</v>
      </c>
      <c r="B58" s="67">
        <v>75000</v>
      </c>
      <c r="C58" s="98" t="s">
        <v>116</v>
      </c>
    </row>
    <row r="59" spans="1:3" s="1" customFormat="1" ht="18" customHeight="1">
      <c r="A59" s="97" t="s">
        <v>64</v>
      </c>
      <c r="B59" s="65">
        <v>750</v>
      </c>
      <c r="C59" s="98" t="s">
        <v>90</v>
      </c>
    </row>
    <row r="60" spans="1:3" s="1" customFormat="1" ht="18" customHeight="1">
      <c r="A60" s="97" t="s">
        <v>62</v>
      </c>
      <c r="B60" s="20">
        <f>ROUND(B7/B59,0)</f>
        <v>2044</v>
      </c>
      <c r="C60" s="98" t="s">
        <v>117</v>
      </c>
    </row>
    <row r="61" spans="1:3" s="1" customFormat="1" ht="18" customHeight="1">
      <c r="A61" s="97" t="s">
        <v>66</v>
      </c>
      <c r="B61" s="68">
        <v>5</v>
      </c>
      <c r="C61" s="98" t="s">
        <v>118</v>
      </c>
    </row>
    <row r="62" spans="1:3" s="1" customFormat="1" ht="18" customHeight="1">
      <c r="A62" s="97" t="s">
        <v>65</v>
      </c>
      <c r="B62" s="68">
        <v>2</v>
      </c>
      <c r="C62" s="98" t="s">
        <v>105</v>
      </c>
    </row>
    <row r="63" spans="1:3" s="1" customFormat="1" ht="18" customHeight="1">
      <c r="A63" s="97" t="s">
        <v>119</v>
      </c>
      <c r="B63" s="68">
        <v>3</v>
      </c>
      <c r="C63" s="99" t="s">
        <v>19</v>
      </c>
    </row>
    <row r="64" spans="1:3" s="1" customFormat="1" ht="18" customHeight="1">
      <c r="A64" s="97" t="s">
        <v>120</v>
      </c>
      <c r="B64" s="68">
        <v>10</v>
      </c>
      <c r="C64" s="99" t="s">
        <v>19</v>
      </c>
    </row>
    <row r="65" spans="1:3" s="1" customFormat="1" ht="18" customHeight="1">
      <c r="A65" s="97" t="s">
        <v>138</v>
      </c>
      <c r="B65" s="20">
        <f>ROUND(Details!B14/100*Details!B9*B64/B13,0)</f>
        <v>5323</v>
      </c>
      <c r="C65" s="99" t="s">
        <v>172</v>
      </c>
    </row>
    <row r="66" spans="1:3" s="1" customFormat="1" ht="18" customHeight="1">
      <c r="A66" s="97" t="s">
        <v>37</v>
      </c>
      <c r="B66" s="8">
        <f>B63*B11</f>
        <v>150</v>
      </c>
      <c r="C66" s="99"/>
    </row>
    <row r="67" spans="1:3" s="1" customFormat="1" ht="18" customHeight="1">
      <c r="A67" s="97" t="s">
        <v>36</v>
      </c>
      <c r="B67" s="8">
        <f>B64*B12</f>
        <v>500</v>
      </c>
      <c r="C67" s="99"/>
    </row>
    <row r="68" spans="1:3" s="1" customFormat="1" ht="18" customHeight="1">
      <c r="A68" s="97" t="s">
        <v>38</v>
      </c>
      <c r="B68" s="8">
        <f>B66+B67</f>
        <v>650</v>
      </c>
      <c r="C68" s="99"/>
    </row>
    <row r="69" spans="1:3" s="1" customFormat="1" ht="18" customHeight="1">
      <c r="A69" s="97" t="s">
        <v>39</v>
      </c>
      <c r="B69" s="8">
        <f>B68/B8</f>
        <v>361.11111111111109</v>
      </c>
      <c r="C69" s="99"/>
    </row>
    <row r="70" spans="1:3" s="1" customFormat="1" ht="18" customHeight="1">
      <c r="A70" s="97" t="s">
        <v>53</v>
      </c>
      <c r="B70" s="68">
        <v>8</v>
      </c>
      <c r="C70" s="99" t="s">
        <v>106</v>
      </c>
    </row>
    <row r="71" spans="1:3" s="1" customFormat="1" ht="18" customHeight="1">
      <c r="A71" s="97" t="s">
        <v>54</v>
      </c>
      <c r="B71" s="68">
        <v>24</v>
      </c>
      <c r="C71" s="99" t="s">
        <v>107</v>
      </c>
    </row>
    <row r="72" spans="1:3" s="1" customFormat="1" ht="18" customHeight="1">
      <c r="A72" s="97" t="s">
        <v>40</v>
      </c>
      <c r="B72" s="8">
        <f>B70*B11</f>
        <v>400</v>
      </c>
      <c r="C72" s="99"/>
    </row>
    <row r="73" spans="1:3" s="1" customFormat="1" ht="18" customHeight="1">
      <c r="A73" s="97" t="s">
        <v>41</v>
      </c>
      <c r="B73" s="8">
        <f>B71*B12</f>
        <v>1200</v>
      </c>
      <c r="C73" s="99"/>
    </row>
    <row r="74" spans="1:3" s="1" customFormat="1" ht="18" customHeight="1">
      <c r="A74" s="97" t="s">
        <v>43</v>
      </c>
      <c r="B74" s="8">
        <f>B72+B73</f>
        <v>1600</v>
      </c>
      <c r="C74" s="99"/>
    </row>
    <row r="75" spans="1:3" s="1" customFormat="1" ht="18" customHeight="1">
      <c r="A75" s="100" t="s">
        <v>42</v>
      </c>
      <c r="B75" s="101">
        <f>B74/B8</f>
        <v>888.88888888888891</v>
      </c>
      <c r="C75" s="102"/>
    </row>
    <row r="76" spans="1:3" s="76" customFormat="1" ht="7.5" customHeight="1">
      <c r="A76" s="171"/>
      <c r="B76" s="171"/>
      <c r="C76" s="171"/>
    </row>
    <row r="77" spans="1:3" s="1" customFormat="1" ht="17.25" customHeight="1">
      <c r="A77" s="21" t="s">
        <v>22</v>
      </c>
      <c r="B77" s="22"/>
      <c r="C77" s="23" t="s">
        <v>44</v>
      </c>
    </row>
    <row r="78" spans="1:3" s="1" customFormat="1" ht="18.75" customHeight="1">
      <c r="A78" s="24" t="s">
        <v>23</v>
      </c>
      <c r="B78" s="13">
        <v>550000</v>
      </c>
      <c r="C78" s="26" t="s">
        <v>121</v>
      </c>
    </row>
    <row r="79" spans="1:3" s="1" customFormat="1" ht="18.75" customHeight="1">
      <c r="A79" s="24" t="s">
        <v>24</v>
      </c>
      <c r="B79" s="14">
        <v>30</v>
      </c>
      <c r="C79" s="26" t="s">
        <v>121</v>
      </c>
    </row>
    <row r="80" spans="1:3" s="1" customFormat="1" ht="18.75" customHeight="1">
      <c r="A80" s="24" t="s">
        <v>25</v>
      </c>
      <c r="B80" s="25">
        <f>ROUND(B78/B79,0)</f>
        <v>18333</v>
      </c>
      <c r="C80" s="26"/>
    </row>
    <row r="81" spans="1:3" s="1" customFormat="1" ht="18.75" customHeight="1">
      <c r="A81" s="24" t="s">
        <v>26</v>
      </c>
      <c r="B81" s="15">
        <v>0.85</v>
      </c>
      <c r="C81" s="26" t="s">
        <v>90</v>
      </c>
    </row>
    <row r="82" spans="1:3" s="1" customFormat="1" ht="18.75" customHeight="1">
      <c r="A82" s="24" t="s">
        <v>27</v>
      </c>
      <c r="B82" s="25">
        <f>ROUND(B80*(1-B81),0)</f>
        <v>2750</v>
      </c>
      <c r="C82" s="26"/>
    </row>
    <row r="83" spans="1:3" s="1" customFormat="1" ht="18.75" customHeight="1">
      <c r="A83" s="24" t="s">
        <v>28</v>
      </c>
      <c r="B83" s="33">
        <v>0.2</v>
      </c>
      <c r="C83" s="26" t="s">
        <v>45</v>
      </c>
    </row>
    <row r="84" spans="1:3" s="1" customFormat="1" ht="18.75" customHeight="1">
      <c r="A84" s="24" t="s">
        <v>29</v>
      </c>
      <c r="B84" s="27">
        <f>B80*B81*B83*10000</f>
        <v>31166100</v>
      </c>
      <c r="C84" s="26"/>
    </row>
    <row r="85" spans="1:3" s="1" customFormat="1" ht="18.75" customHeight="1">
      <c r="A85" s="28" t="s">
        <v>46</v>
      </c>
      <c r="B85" s="29">
        <f>B82*B83*10000</f>
        <v>5500000</v>
      </c>
      <c r="C85" s="30"/>
    </row>
  </sheetData>
  <customSheetViews>
    <customSheetView guid="{6F527328-663B-4944-BE31-FA39F89D0BB8}" scale="60" showPageBreaks="1" fitToPage="1" view="pageBreakPreview">
      <selection activeCell="F53" sqref="F53"/>
      <rowBreaks count="1" manualBreakCount="1">
        <brk id="41" max="16383" man="1"/>
      </rowBreaks>
      <pageMargins left="0.25" right="0.25" top="0.75" bottom="0.75" header="0.3" footer="0.3"/>
      <pageSetup paperSize="9" scale="90" fitToHeight="0" orientation="landscape" horizontalDpi="1200" verticalDpi="1200" r:id="rId1"/>
    </customSheetView>
  </customSheetViews>
  <mergeCells count="5">
    <mergeCell ref="A1:C1"/>
    <mergeCell ref="A2:C2"/>
    <mergeCell ref="A16:C16"/>
    <mergeCell ref="A44:C44"/>
    <mergeCell ref="A76:C76"/>
  </mergeCells>
  <pageMargins left="0.25" right="0.25" top="0.75" bottom="0.75" header="0.3" footer="0.3"/>
  <pageSetup paperSize="9" scale="85" fitToHeight="0" orientation="landscape" horizontalDpi="1200" verticalDpi="1200" r:id="rId2"/>
  <rowBreaks count="3" manualBreakCount="3">
    <brk id="15" max="16383" man="1"/>
    <brk id="43" max="16383" man="1"/>
    <brk id="7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Annahmen</vt:lpstr>
      <vt:lpstr>Übersicht</vt:lpstr>
      <vt:lpstr>Details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Kostenanalyse Referentenentwurf BMF vom 18.03.2016 vs. INSIKA-Verfahren</dc:title>
  <dc:creator/>
  <cp:lastModifiedBy/>
  <dcterms:created xsi:type="dcterms:W3CDTF">2006-09-21T08:52:22Z</dcterms:created>
  <dcterms:modified xsi:type="dcterms:W3CDTF">2016-05-13T12:17:55Z</dcterms:modified>
</cp:coreProperties>
</file>